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6675" windowHeight="4695" activeTab="1"/>
  </bookViews>
  <sheets>
    <sheet name="bsp.1" sheetId="1" r:id="rId1"/>
    <sheet name="bsp.2" sheetId="2" r:id="rId2"/>
    <sheet name="bsp 3" sheetId="3" r:id="rId3"/>
    <sheet name="bsp.4" sheetId="4" r:id="rId4"/>
  </sheets>
  <externalReferences>
    <externalReference r:id="rId7"/>
  </externalReferences>
  <definedNames/>
  <calcPr fullCalcOnLoad="1"/>
</workbook>
</file>

<file path=xl/comments2.xml><?xml version="1.0" encoding="utf-8"?>
<comments xmlns="http://schemas.openxmlformats.org/spreadsheetml/2006/main">
  <authors>
    <author>physics and biophysics</author>
  </authors>
  <commentList>
    <comment ref="E23" authorId="0">
      <text>
        <r>
          <rPr>
            <b/>
            <sz val="8"/>
            <rFont val="Tahoma"/>
            <family val="0"/>
          </rPr>
          <t xml:space="preserve">es handelt sich hier um keine klassierten daten !! 
</t>
        </r>
        <r>
          <rPr>
            <sz val="8"/>
            <rFont val="Tahoma"/>
            <family val="0"/>
          </rPr>
          <t xml:space="preserve">
</t>
        </r>
      </text>
    </comment>
  </commentList>
</comments>
</file>

<file path=xl/comments4.xml><?xml version="1.0" encoding="utf-8"?>
<comments xmlns="http://schemas.openxmlformats.org/spreadsheetml/2006/main">
  <authors>
    <author>lettnerh</author>
  </authors>
  <commentList>
    <comment ref="A24" authorId="0">
      <text>
        <r>
          <rPr>
            <b/>
            <sz val="8"/>
            <rFont val="Tahoma"/>
            <family val="0"/>
          </rPr>
          <t>lettnerh:</t>
        </r>
        <r>
          <rPr>
            <sz val="8"/>
            <rFont val="Tahoma"/>
            <family val="0"/>
          </rPr>
          <t xml:space="preserve">
lineare interpolation: 
</t>
        </r>
      </text>
    </comment>
    <comment ref="E6" authorId="0">
      <text>
        <r>
          <rPr>
            <b/>
            <sz val="8"/>
            <rFont val="Tahoma"/>
            <family val="0"/>
          </rPr>
          <t>lettnerh:</t>
        </r>
        <r>
          <rPr>
            <sz val="8"/>
            <rFont val="Tahoma"/>
            <family val="0"/>
          </rPr>
          <t xml:space="preserve">
mittleres einkommen pro 10 oder 5 perzentil l * bev/100 * 10 bzw *5</t>
        </r>
      </text>
    </comment>
  </commentList>
</comments>
</file>

<file path=xl/sharedStrings.xml><?xml version="1.0" encoding="utf-8"?>
<sst xmlns="http://schemas.openxmlformats.org/spreadsheetml/2006/main" count="79" uniqueCount="75">
  <si>
    <t>rel.h.*kl.mit</t>
  </si>
  <si>
    <t>Median</t>
  </si>
  <si>
    <t>Mittelwert</t>
  </si>
  <si>
    <t>(x-xi)²rh</t>
  </si>
  <si>
    <t>std.abw</t>
  </si>
  <si>
    <t>0-5</t>
  </si>
  <si>
    <t>15-20</t>
  </si>
  <si>
    <t>20-25</t>
  </si>
  <si>
    <t>25-30</t>
  </si>
  <si>
    <t>30-35</t>
  </si>
  <si>
    <t>35-40</t>
  </si>
  <si>
    <t>40-45</t>
  </si>
  <si>
    <t>45-50</t>
  </si>
  <si>
    <t>50-55</t>
  </si>
  <si>
    <t>55-60</t>
  </si>
  <si>
    <t>60-65</t>
  </si>
  <si>
    <t>65-70</t>
  </si>
  <si>
    <t>70-75</t>
  </si>
  <si>
    <t>75-80</t>
  </si>
  <si>
    <t>80-85</t>
  </si>
  <si>
    <t>85-90</t>
  </si>
  <si>
    <t>5-10</t>
  </si>
  <si>
    <t>10-15</t>
  </si>
  <si>
    <t>90-95</t>
  </si>
  <si>
    <t>&gt;95</t>
  </si>
  <si>
    <t xml:space="preserve">Die Bestimmung von Chromosomenaberrationen an insgesamt 1000 Zellen hat folgende Werte ergeben:  Bestimmen Sie für diesen Datensatz die statistischen Parameter 
a) Mittelwert
b) Median
b) Standardabweichung
c) Standardfehler des Mittelwertes
</t>
  </si>
  <si>
    <t>Aberrationen</t>
  </si>
  <si>
    <t>Anzahl der Zellen</t>
  </si>
  <si>
    <t>rh</t>
  </si>
  <si>
    <t>stdabw.</t>
  </si>
  <si>
    <t xml:space="preserve">  </t>
  </si>
  <si>
    <t>AM</t>
  </si>
  <si>
    <t>Personen</t>
  </si>
  <si>
    <t>Insgesamt</t>
  </si>
  <si>
    <t>Frauen</t>
  </si>
  <si>
    <t>o-punkt</t>
  </si>
  <si>
    <t>Summe aller Einkommen: (AM * Bev)</t>
  </si>
  <si>
    <t xml:space="preserve">Gesamteinkommen von 90% </t>
  </si>
  <si>
    <t>0-5000</t>
  </si>
  <si>
    <t>5000-10000</t>
  </si>
  <si>
    <t>10000-15000</t>
  </si>
  <si>
    <t>15000-20000</t>
  </si>
  <si>
    <t>20000-25000</t>
  </si>
  <si>
    <t>25000-30000</t>
  </si>
  <si>
    <t>&gt; 30000</t>
  </si>
  <si>
    <t>Standort P1</t>
  </si>
  <si>
    <t>Standort P2</t>
  </si>
  <si>
    <t>Q0</t>
  </si>
  <si>
    <t>Q3</t>
  </si>
  <si>
    <t>Q4</t>
  </si>
  <si>
    <t>Q1</t>
  </si>
  <si>
    <t>P1 (1000m)</t>
  </si>
  <si>
    <t>P2 (1380m)</t>
  </si>
  <si>
    <t xml:space="preserve">min(q3+IQR*1,5;datensatz) </t>
  </si>
  <si>
    <t>Q2</t>
  </si>
  <si>
    <t>IQR</t>
  </si>
  <si>
    <t>max</t>
  </si>
  <si>
    <t>min</t>
  </si>
  <si>
    <t>max(x1,q1-iqr*1,5)</t>
  </si>
  <si>
    <r>
      <t>137</t>
    </r>
    <r>
      <rPr>
        <b/>
        <sz val="14"/>
        <rFont val="Arial"/>
        <family val="2"/>
      </rPr>
      <t>Cs Messungen</t>
    </r>
  </si>
  <si>
    <t>h) Einkommen des 1. Dezils (ärmste 10%)</t>
  </si>
  <si>
    <r>
      <t xml:space="preserve">Die nachfolgende Tabelle enthält die Nettojahreseinkommen der unselbstständigen Erwerbstätigen in Österreich aus dem Jahr 2001 (Stat. Jahrbuch 2004(!)  http://www.statistik.at/jahrbuch/pdf/k09.pdf). Berechnen Sie für die Rubrik "Insgesamt", der Rest ist vorwiegend zur (Des)information  
a)  Versuchen Sie aus diesen Angaben für 2001 eine Häufigkeitsverteilung als Funktion des Einkommens abzuleiten, stellen Sie diese graphisch dar und geben sie an, bzw. schätzen Sie:
b)  Wo liegt das Medianeinkommen </t>
    </r>
    <r>
      <rPr>
        <b/>
        <sz val="10"/>
        <rFont val="Arial"/>
        <family val="2"/>
      </rPr>
      <t xml:space="preserve"> (15.533)</t>
    </r>
    <r>
      <rPr>
        <sz val="10"/>
        <rFont val="Arial"/>
        <family val="0"/>
      </rPr>
      <t xml:space="preserve">
c)  Wo liegt das Modaleinkommen
d)  Wie viele verdienten 2000 über 29588.-</t>
    </r>
    <r>
      <rPr>
        <b/>
        <sz val="10"/>
        <rFont val="Arial"/>
        <family val="2"/>
      </rPr>
      <t xml:space="preserve"> (10% von 3.536.358, 90. perzentil)</t>
    </r>
    <r>
      <rPr>
        <sz val="10"/>
        <rFont val="Arial"/>
        <family val="0"/>
      </rPr>
      <t xml:space="preserve">
e)  Wie hoch war deren Anteil (d) am Gesamteinkommen der Unselbstständigen </t>
    </r>
    <r>
      <rPr>
        <b/>
        <sz val="10"/>
        <rFont val="Arial"/>
        <family val="2"/>
      </rPr>
      <t>ca. 26.3%</t>
    </r>
    <r>
      <rPr>
        <sz val="10"/>
        <rFont val="Arial"/>
        <family val="0"/>
      </rPr>
      <t xml:space="preserve">
f)  Wie hoch war der geschätzte Anteil der Einkünfte unterhalb (f1) des Medians </t>
    </r>
    <r>
      <rPr>
        <b/>
        <sz val="10"/>
        <rFont val="Arial"/>
        <family val="2"/>
      </rPr>
      <t xml:space="preserve">(ca. 23.6%) </t>
    </r>
    <r>
      <rPr>
        <sz val="10"/>
        <rFont val="Arial"/>
        <family val="0"/>
      </rPr>
      <t xml:space="preserve">und  (f2) des Mittelwertes am Gesamteinkommen </t>
    </r>
    <r>
      <rPr>
        <b/>
        <sz val="10"/>
        <rFont val="Arial"/>
        <family val="2"/>
      </rPr>
      <t>(ca.29.05%)</t>
    </r>
    <r>
      <rPr>
        <sz val="10"/>
        <rFont val="Arial"/>
        <family val="0"/>
      </rPr>
      <t xml:space="preserve">
g) Wie hoch war das durchschnittliche Einkommen der Männer </t>
    </r>
    <r>
      <rPr>
        <b/>
        <sz val="10"/>
        <rFont val="Arial"/>
        <family val="2"/>
      </rPr>
      <t>(20.114)</t>
    </r>
    <r>
      <rPr>
        <sz val="10"/>
        <rFont val="Arial"/>
        <family val="0"/>
      </rPr>
      <t xml:space="preserve">
h) Wie groß ist das Verhältnis des Einkommens des obersten Dezils zum Einkommen des untersten Dezils ?</t>
    </r>
    <r>
      <rPr>
        <b/>
        <sz val="10"/>
        <rFont val="Arial"/>
        <family val="2"/>
      </rPr>
      <t xml:space="preserve"> (38,7)</t>
    </r>
  </si>
  <si>
    <t>Summe [%]</t>
  </si>
  <si>
    <t>Klassen-breite</t>
  </si>
  <si>
    <t>Klasssenobergrenze</t>
  </si>
  <si>
    <t xml:space="preserve">    Anteil am Gesamteinkommen</t>
  </si>
  <si>
    <t xml:space="preserve">   Einkommen des 10. Dezils (reichte 10%)+A21</t>
  </si>
  <si>
    <t xml:space="preserve">  Verhältnis 10. Dezil/1. Dezil</t>
  </si>
  <si>
    <t xml:space="preserve">1.  Bevölkerungsverteilung in Österreich 2001 und Prognose für 2050 (stat. Jahrbuch 2004)
a)  Berechnen Sie das durchschnittliche Alter der Bevölkerung im Jahr 2001 und 2050 unter der Annahme, daß das mittlere Alter der einzelnen Klassen genau in der Mitte der Klassenbreite liegt, d.h. 2,5; 7.5,.etc.... Jahre. Ist der somit berechnete Mittelwert mit dem „wahren“ Mittelwert identisch? Diskutieren Sie mögliche Abweichungen
b) Berechnen Sie die Standardabweichung 
c) Wo liegen Median und Modalwert
</t>
  </si>
  <si>
    <t>5 bzw. 10 Perzentilein-kommen</t>
  </si>
  <si>
    <t>Eink. pro Klasse [%]</t>
  </si>
  <si>
    <t>g) Durchschnittliches Männereinkommen</t>
  </si>
  <si>
    <t xml:space="preserve">e) Anteil am Gesamteinkommen </t>
  </si>
  <si>
    <t>f1) Anteil der Einkünfte unterhalb des Medians</t>
  </si>
  <si>
    <t>f2) Anteil der Einkünfte unterhalb des Mittelwertes: lineare Interpolation: Anteil  = Summe Einkünfte bis Median + (16.764-15.533)/(17.718-15.533)*Bev/10*(15.533+16.674)/2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</si>
</sst>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 #,##0_-;\-* #,##0_-;_-* &quot;-&quot;_-;_-@_-"/>
    <numFmt numFmtId="170" formatCode="_-&quot;öS&quot;\ * #,##0.00_-;\-&quot;öS&quot;\ * #,##0.00_-;_-&quot;ö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
    <numFmt numFmtId="187" formatCode="#,##0.000"/>
    <numFmt numFmtId="188" formatCode="#,##0.0000"/>
    <numFmt numFmtId="189" formatCode="0.000%"/>
    <numFmt numFmtId="190" formatCode="0.0%"/>
  </numFmts>
  <fonts count="26">
    <font>
      <sz val="10"/>
      <name val="Arial"/>
      <family val="0"/>
    </font>
    <font>
      <b/>
      <sz val="10"/>
      <name val="Arial"/>
      <family val="2"/>
    </font>
    <font>
      <b/>
      <sz val="10"/>
      <color indexed="17"/>
      <name val="Arial"/>
      <family val="2"/>
    </font>
    <font>
      <b/>
      <sz val="10"/>
      <color indexed="10"/>
      <name val="Arial"/>
      <family val="2"/>
    </font>
    <font>
      <b/>
      <sz val="10"/>
      <color indexed="12"/>
      <name val="Arial"/>
      <family val="2"/>
    </font>
    <font>
      <b/>
      <sz val="12"/>
      <name val="Arial"/>
      <family val="2"/>
    </font>
    <font>
      <b/>
      <sz val="15.5"/>
      <name val="Arial"/>
      <family val="0"/>
    </font>
    <font>
      <sz val="8"/>
      <name val="Arial"/>
      <family val="2"/>
    </font>
    <font>
      <sz val="12"/>
      <name val="Arial"/>
      <family val="0"/>
    </font>
    <font>
      <b/>
      <sz val="10.5"/>
      <name val="Arial"/>
      <family val="0"/>
    </font>
    <font>
      <b/>
      <sz val="8.75"/>
      <name val="Arial"/>
      <family val="0"/>
    </font>
    <font>
      <sz val="8.75"/>
      <name val="Arial"/>
      <family val="0"/>
    </font>
    <font>
      <sz val="8"/>
      <name val="Tahoma"/>
      <family val="0"/>
    </font>
    <font>
      <b/>
      <sz val="8"/>
      <name val="Tahoma"/>
      <family val="0"/>
    </font>
    <font>
      <u val="single"/>
      <sz val="10"/>
      <color indexed="36"/>
      <name val="Arial"/>
      <family val="0"/>
    </font>
    <font>
      <u val="single"/>
      <sz val="10"/>
      <color indexed="12"/>
      <name val="Arial"/>
      <family val="0"/>
    </font>
    <font>
      <b/>
      <sz val="8"/>
      <name val="Arial"/>
      <family val="0"/>
    </font>
    <font>
      <sz val="5.75"/>
      <name val="Arial"/>
      <family val="0"/>
    </font>
    <font>
      <b/>
      <sz val="5.75"/>
      <name val="Arial"/>
      <family val="0"/>
    </font>
    <font>
      <sz val="4.5"/>
      <name val="Arial"/>
      <family val="2"/>
    </font>
    <font>
      <sz val="5"/>
      <name val="Arial"/>
      <family val="0"/>
    </font>
    <font>
      <b/>
      <sz val="5"/>
      <name val="Arial"/>
      <family val="0"/>
    </font>
    <font>
      <sz val="4"/>
      <name val="Arial"/>
      <family val="2"/>
    </font>
    <font>
      <b/>
      <vertAlign val="superscript"/>
      <sz val="14"/>
      <name val="Arial"/>
      <family val="2"/>
    </font>
    <font>
      <b/>
      <sz val="14"/>
      <name val="Arial"/>
      <family val="2"/>
    </font>
    <font>
      <b/>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3" fontId="0" fillId="0" borderId="0" xfId="0" applyNumberFormat="1" applyAlignment="1">
      <alignment/>
    </xf>
    <xf numFmtId="0" fontId="0" fillId="0" borderId="0" xfId="0" applyAlignment="1">
      <alignment horizontal="center"/>
    </xf>
    <xf numFmtId="2" fontId="0" fillId="0" borderId="0" xfId="0" applyNumberFormat="1" applyAlignment="1">
      <alignment/>
    </xf>
    <xf numFmtId="0" fontId="1" fillId="0" borderId="0" xfId="0" applyFont="1" applyAlignment="1">
      <alignment/>
    </xf>
    <xf numFmtId="2" fontId="1" fillId="0" borderId="0" xfId="0" applyNumberFormat="1" applyFont="1" applyAlignment="1">
      <alignment/>
    </xf>
    <xf numFmtId="3" fontId="2" fillId="0" borderId="0" xfId="0" applyNumberFormat="1" applyFont="1" applyAlignment="1">
      <alignment/>
    </xf>
    <xf numFmtId="185" fontId="2" fillId="0" borderId="0" xfId="0" applyNumberFormat="1" applyFont="1" applyAlignment="1">
      <alignment horizontal="center"/>
    </xf>
    <xf numFmtId="0" fontId="3" fillId="0" borderId="0" xfId="0" applyFont="1" applyAlignment="1">
      <alignment/>
    </xf>
    <xf numFmtId="0" fontId="3" fillId="0" borderId="0" xfId="0" applyFont="1" applyAlignment="1">
      <alignment horizontal="center"/>
    </xf>
    <xf numFmtId="3" fontId="3" fillId="0" borderId="0" xfId="0" applyNumberFormat="1" applyFont="1" applyAlignment="1">
      <alignment/>
    </xf>
    <xf numFmtId="2" fontId="3" fillId="0" borderId="0" xfId="0" applyNumberFormat="1" applyFont="1" applyAlignment="1">
      <alignment/>
    </xf>
    <xf numFmtId="2" fontId="2" fillId="0" borderId="0" xfId="0" applyNumberFormat="1" applyFont="1" applyAlignment="1">
      <alignment/>
    </xf>
    <xf numFmtId="3" fontId="1" fillId="0" borderId="0" xfId="0" applyNumberFormat="1" applyFont="1" applyAlignment="1">
      <alignment/>
    </xf>
    <xf numFmtId="0" fontId="4" fillId="0" borderId="0" xfId="0" applyFont="1" applyAlignment="1">
      <alignment/>
    </xf>
    <xf numFmtId="3" fontId="4" fillId="0" borderId="0" xfId="0" applyNumberFormat="1" applyFont="1" applyAlignment="1">
      <alignment/>
    </xf>
    <xf numFmtId="4" fontId="4" fillId="0" borderId="0" xfId="0" applyNumberFormat="1" applyFont="1" applyAlignment="1">
      <alignment/>
    </xf>
    <xf numFmtId="184" fontId="0" fillId="0" borderId="0" xfId="0" applyNumberFormat="1" applyAlignment="1">
      <alignment/>
    </xf>
    <xf numFmtId="0" fontId="1" fillId="0" borderId="0" xfId="0" applyFont="1" applyAlignment="1">
      <alignment wrapText="1"/>
    </xf>
    <xf numFmtId="0" fontId="5" fillId="0" borderId="0" xfId="0" applyFont="1" applyAlignment="1">
      <alignment wrapText="1"/>
    </xf>
    <xf numFmtId="0" fontId="5" fillId="0" borderId="0" xfId="0" applyFont="1" applyAlignment="1">
      <alignment/>
    </xf>
    <xf numFmtId="190" fontId="0" fillId="0" borderId="0" xfId="0" applyNumberFormat="1" applyAlignment="1">
      <alignment/>
    </xf>
    <xf numFmtId="49" fontId="0" fillId="0" borderId="0" xfId="0" applyNumberFormat="1" applyAlignment="1">
      <alignment/>
    </xf>
    <xf numFmtId="0" fontId="1" fillId="0" borderId="0" xfId="0" applyFont="1" applyAlignment="1">
      <alignment horizontal="center"/>
    </xf>
    <xf numFmtId="184" fontId="1" fillId="0" borderId="0" xfId="0" applyNumberFormat="1" applyFont="1" applyAlignment="1">
      <alignment/>
    </xf>
    <xf numFmtId="2" fontId="1" fillId="0" borderId="0" xfId="0" applyNumberFormat="1" applyFont="1" applyAlignment="1">
      <alignment wrapText="1"/>
    </xf>
    <xf numFmtId="0" fontId="1" fillId="0" borderId="0" xfId="0" applyFont="1" applyAlignment="1">
      <alignment horizontal="center" wrapText="1"/>
    </xf>
    <xf numFmtId="10" fontId="1" fillId="0" borderId="0" xfId="0" applyNumberFormat="1" applyFont="1" applyAlignment="1">
      <alignment/>
    </xf>
    <xf numFmtId="1" fontId="0" fillId="0" borderId="0" xfId="0" applyNumberFormat="1" applyAlignment="1">
      <alignment/>
    </xf>
    <xf numFmtId="0" fontId="0" fillId="0" borderId="0" xfId="0" applyAlignment="1">
      <alignment/>
    </xf>
    <xf numFmtId="0" fontId="23" fillId="0" borderId="0" xfId="0" applyFont="1" applyAlignment="1">
      <alignment/>
    </xf>
    <xf numFmtId="186" fontId="0" fillId="0" borderId="0" xfId="0" applyNumberFormat="1" applyAlignment="1">
      <alignment/>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0" fontId="0" fillId="0" borderId="0" xfId="0" applyBorder="1" applyAlignment="1">
      <alignment/>
    </xf>
    <xf numFmtId="1" fontId="1" fillId="0" borderId="0" xfId="0" applyNumberFormat="1" applyFont="1" applyAlignment="1">
      <alignment/>
    </xf>
    <xf numFmtId="2" fontId="0" fillId="0" borderId="0" xfId="0" applyNumberFormat="1" applyAlignment="1">
      <alignment horizontal="center"/>
    </xf>
    <xf numFmtId="183" fontId="0" fillId="0" borderId="0" xfId="0" applyNumberFormat="1" applyAlignment="1">
      <alignment/>
    </xf>
    <xf numFmtId="0" fontId="25" fillId="0" borderId="0" xfId="0" applyFont="1" applyAlignment="1">
      <alignment/>
    </xf>
    <xf numFmtId="0" fontId="25" fillId="0" borderId="0" xfId="0" applyFont="1" applyAlignment="1">
      <alignment wrapText="1"/>
    </xf>
    <xf numFmtId="0" fontId="25" fillId="0" borderId="0" xfId="0" applyFont="1" applyAlignment="1">
      <alignment horizontal="center" vertical="center" wrapText="1"/>
    </xf>
    <xf numFmtId="0" fontId="0" fillId="0" borderId="0" xfId="0"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Altersverteilung Österreich</a:t>
            </a:r>
          </a:p>
        </c:rich>
      </c:tx>
      <c:layout>
        <c:manualLayout>
          <c:xMode val="factor"/>
          <c:yMode val="factor"/>
          <c:x val="-0.00325"/>
          <c:y val="0.04275"/>
        </c:manualLayout>
      </c:layout>
      <c:spPr>
        <a:noFill/>
        <a:ln>
          <a:noFill/>
        </a:ln>
      </c:spPr>
    </c:title>
    <c:plotArea>
      <c:layout>
        <c:manualLayout>
          <c:xMode val="edge"/>
          <c:yMode val="edge"/>
          <c:x val="0.06425"/>
          <c:y val="0.16225"/>
          <c:w val="0.815"/>
          <c:h val="0.733"/>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'bsp.1'!$A$6:$A$25</c:f>
              <c:strCache/>
            </c:strRef>
          </c:cat>
          <c:val>
            <c:numRef>
              <c:f>'bsp.1'!$E$6:$E$25</c:f>
              <c:numCache/>
            </c:numRef>
          </c:val>
        </c:ser>
        <c:ser>
          <c:idx val="1"/>
          <c:order val="1"/>
          <c:tx>
            <c:v>2050</c:v>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'bsp.1'!$A$6:$A$25</c:f>
              <c:strCache/>
            </c:strRef>
          </c:cat>
          <c:val>
            <c:numRef>
              <c:f>'bsp.1'!$J$6:$J$25</c:f>
              <c:numCache/>
            </c:numRef>
          </c:val>
        </c:ser>
        <c:gapWidth val="20"/>
        <c:axId val="49367798"/>
        <c:axId val="41656999"/>
      </c:barChart>
      <c:catAx>
        <c:axId val="49367798"/>
        <c:scaling>
          <c:orientation val="minMax"/>
        </c:scaling>
        <c:axPos val="b"/>
        <c:title>
          <c:tx>
            <c:rich>
              <a:bodyPr vert="horz" rot="0" anchor="ctr"/>
              <a:lstStyle/>
              <a:p>
                <a:pPr algn="ctr">
                  <a:defRPr/>
                </a:pPr>
                <a:r>
                  <a:rPr lang="en-US" cap="none" sz="1200" b="1" i="0" u="none" baseline="0">
                    <a:latin typeface="Arial"/>
                    <a:ea typeface="Arial"/>
                    <a:cs typeface="Arial"/>
                  </a:rPr>
                  <a:t>altersklasse</a:t>
                </a:r>
              </a:p>
            </c:rich>
          </c:tx>
          <c:layout/>
          <c:overlay val="0"/>
          <c:spPr>
            <a:noFill/>
            <a:ln>
              <a:noFill/>
            </a:ln>
          </c:spPr>
        </c:title>
        <c:delete val="0"/>
        <c:numFmt formatCode="General" sourceLinked="1"/>
        <c:majorTickMark val="out"/>
        <c:minorTickMark val="none"/>
        <c:tickLblPos val="nextTo"/>
        <c:spPr>
          <a:ln w="3175">
            <a:solidFill/>
          </a:ln>
        </c:spPr>
        <c:txPr>
          <a:bodyPr vert="horz" rot="-5400000"/>
          <a:lstStyle/>
          <a:p>
            <a:pPr>
              <a:defRPr lang="en-US" cap="none" sz="800" b="0" i="0" u="none" baseline="0">
                <a:latin typeface="Arial"/>
                <a:ea typeface="Arial"/>
                <a:cs typeface="Arial"/>
              </a:defRPr>
            </a:pPr>
          </a:p>
        </c:txPr>
        <c:crossAx val="41656999"/>
        <c:crosses val="autoZero"/>
        <c:auto val="1"/>
        <c:lblOffset val="100"/>
        <c:noMultiLvlLbl val="0"/>
      </c:catAx>
      <c:valAx>
        <c:axId val="41656999"/>
        <c:scaling>
          <c:orientation val="minMax"/>
        </c:scaling>
        <c:axPos val="l"/>
        <c:title>
          <c:tx>
            <c:rich>
              <a:bodyPr vert="horz" rot="-5400000" anchor="ctr"/>
              <a:lstStyle/>
              <a:p>
                <a:pPr algn="ctr">
                  <a:defRPr/>
                </a:pPr>
                <a:r>
                  <a:rPr lang="en-US" cap="none" sz="1200" b="1" i="0" u="none" baseline="0">
                    <a:latin typeface="Arial"/>
                    <a:ea typeface="Arial"/>
                    <a:cs typeface="Arial"/>
                  </a:rPr>
                  <a:t>rel. Häufigkeit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367798"/>
        <c:crossesAt val="1"/>
        <c:crossBetween val="between"/>
        <c:dispUnits/>
      </c:valAx>
      <c:spPr>
        <a:solidFill>
          <a:srgbClr val="C0C0C0"/>
        </a:solidFill>
        <a:ln w="12700">
          <a:solidFill>
            <a:srgbClr val="808080"/>
          </a:solidFill>
        </a:ln>
      </c:spPr>
    </c:plotArea>
    <c:legend>
      <c:legendPos val="r"/>
      <c:layout>
        <c:manualLayout>
          <c:xMode val="edge"/>
          <c:yMode val="edge"/>
          <c:x val="0.76075"/>
          <c:y val="0.20675"/>
          <c:w val="0.10925"/>
          <c:h val="0.23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Chromosomenabberation</a:t>
            </a:r>
          </a:p>
        </c:rich>
      </c:tx>
      <c:layout>
        <c:manualLayout>
          <c:xMode val="factor"/>
          <c:yMode val="factor"/>
          <c:x val="-0.0125"/>
          <c:y val="-0.00525"/>
        </c:manualLayout>
      </c:layout>
      <c:spPr>
        <a:noFill/>
        <a:ln>
          <a:noFill/>
        </a:ln>
      </c:spPr>
    </c:title>
    <c:plotArea>
      <c:layout>
        <c:manualLayout>
          <c:xMode val="edge"/>
          <c:yMode val="edge"/>
          <c:x val="0.0705"/>
          <c:y val="0.14125"/>
          <c:w val="0.90875"/>
          <c:h val="0.771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'bsp.2'!$A$10:$A$18</c:f>
              <c:numCache/>
            </c:numRef>
          </c:cat>
          <c:val>
            <c:numRef>
              <c:f>'bsp.2'!$D$10:$D$18</c:f>
              <c:numCache/>
            </c:numRef>
          </c:val>
        </c:ser>
        <c:gapWidth val="0"/>
        <c:axId val="39368672"/>
        <c:axId val="18773729"/>
      </c:barChart>
      <c:catAx>
        <c:axId val="39368672"/>
        <c:scaling>
          <c:orientation val="minMax"/>
        </c:scaling>
        <c:axPos val="b"/>
        <c:title>
          <c:tx>
            <c:rich>
              <a:bodyPr vert="horz" rot="0" anchor="ctr"/>
              <a:lstStyle/>
              <a:p>
                <a:pPr algn="ctr">
                  <a:defRPr/>
                </a:pPr>
                <a:r>
                  <a:rPr lang="en-US" cap="none" sz="1000" b="1" i="0" u="none" baseline="0">
                    <a:latin typeface="Arial"/>
                    <a:ea typeface="Arial"/>
                    <a:cs typeface="Arial"/>
                  </a:rPr>
                  <a:t>abberationen</a:t>
                </a:r>
              </a:p>
            </c:rich>
          </c:tx>
          <c:layout/>
          <c:overlay val="0"/>
          <c:spPr>
            <a:noFill/>
            <a:ln>
              <a:noFill/>
            </a:ln>
          </c:spPr>
        </c:title>
        <c:delete val="0"/>
        <c:numFmt formatCode="General" sourceLinked="1"/>
        <c:majorTickMark val="out"/>
        <c:minorTickMark val="none"/>
        <c:tickLblPos val="nextTo"/>
        <c:crossAx val="18773729"/>
        <c:crosses val="autoZero"/>
        <c:auto val="1"/>
        <c:lblOffset val="100"/>
        <c:noMultiLvlLbl val="0"/>
      </c:catAx>
      <c:valAx>
        <c:axId val="18773729"/>
        <c:scaling>
          <c:orientation val="minMax"/>
        </c:scaling>
        <c:axPos val="l"/>
        <c:title>
          <c:tx>
            <c:rich>
              <a:bodyPr vert="horz" rot="-5400000" anchor="ctr"/>
              <a:lstStyle/>
              <a:p>
                <a:pPr algn="ctr">
                  <a:defRPr/>
                </a:pPr>
                <a:r>
                  <a:rPr lang="en-US" cap="none" sz="1000" b="1" i="0" u="none" baseline="0">
                    <a:latin typeface="Arial"/>
                    <a:ea typeface="Arial"/>
                    <a:cs typeface="Arial"/>
                  </a:rPr>
                  <a:t>rel. hfgkt</a:t>
                </a:r>
              </a:p>
            </c:rich>
          </c:tx>
          <c:layout/>
          <c:overlay val="0"/>
          <c:spPr>
            <a:noFill/>
            <a:ln>
              <a:noFill/>
            </a:ln>
          </c:spPr>
        </c:title>
        <c:majorGridlines/>
        <c:delete val="0"/>
        <c:numFmt formatCode="0%" sourceLinked="0"/>
        <c:majorTickMark val="out"/>
        <c:minorTickMark val="none"/>
        <c:tickLblPos val="nextTo"/>
        <c:crossAx val="3936867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137Cs Messung </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c:f>
              <c:strCache>
                <c:ptCount val="1"/>
                <c:pt idx="0">
                  <c:v>P1 (1000m)</c:v>
                </c:pt>
              </c:strCache>
            </c:strRef>
          </c:cat>
          <c:val>
            <c:numRef>
              <c:f>'[1]Beispiel 3'!$E$3</c:f>
              <c:numCache>
                <c:ptCount val="1"/>
                <c:pt idx="0">
                  <c:v>40.5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c:f>
              <c:strCache>
                <c:ptCount val="1"/>
                <c:pt idx="0">
                  <c:v>P1 (1000m)</c:v>
                </c:pt>
              </c:strCache>
            </c:strRef>
          </c:cat>
          <c:val>
            <c:numRef>
              <c:f>'[1]Beispiel 3'!$E$4</c:f>
              <c:numCache>
                <c:ptCount val="1"/>
                <c:pt idx="0">
                  <c:v>19</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c:f>
              <c:strCache>
                <c:ptCount val="1"/>
                <c:pt idx="0">
                  <c:v>P1 (1000m)</c:v>
                </c:pt>
              </c:strCache>
            </c:strRef>
          </c:cat>
          <c:val>
            <c:numRef>
              <c:f>'[1]Beispiel 3'!$E$5</c:f>
              <c:numCache>
                <c:ptCount val="1"/>
                <c:pt idx="0">
                  <c:v>92</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c:f>
              <c:strCache>
                <c:ptCount val="1"/>
                <c:pt idx="0">
                  <c:v>P1 (1000m)</c:v>
                </c:pt>
              </c:strCache>
            </c:strRef>
          </c:cat>
          <c:val>
            <c:numRef>
              <c:f>'[1]Beispiel 3'!$E$6</c:f>
              <c:numCache>
                <c:ptCount val="1"/>
                <c:pt idx="0">
                  <c:v>28.25</c:v>
                </c:pt>
              </c:numCache>
            </c:numRef>
          </c:val>
          <c:smooth val="0"/>
        </c:ser>
        <c:hiLowLines>
          <c:spPr>
            <a:ln w="38100">
              <a:solidFill/>
            </a:ln>
          </c:spPr>
        </c:hiLowLines>
        <c:upDownBars>
          <c:upBars/>
          <c:downBars/>
        </c:upDownBars>
        <c:axId val="34745834"/>
        <c:axId val="44277051"/>
      </c:lineChart>
      <c:catAx>
        <c:axId val="34745834"/>
        <c:scaling>
          <c:orientation val="minMax"/>
        </c:scaling>
        <c:axPos val="b"/>
        <c:delete val="0"/>
        <c:numFmt formatCode="General" sourceLinked="1"/>
        <c:majorTickMark val="in"/>
        <c:minorTickMark val="none"/>
        <c:tickLblPos val="nextTo"/>
        <c:crossAx val="44277051"/>
        <c:crosses val="autoZero"/>
        <c:auto val="1"/>
        <c:lblOffset val="100"/>
        <c:noMultiLvlLbl val="0"/>
      </c:catAx>
      <c:valAx>
        <c:axId val="44277051"/>
        <c:scaling>
          <c:orientation val="minMax"/>
        </c:scaling>
        <c:axPos val="l"/>
        <c:title>
          <c:tx>
            <c:rich>
              <a:bodyPr vert="horz" rot="-5400000" anchor="ctr"/>
              <a:lstStyle/>
              <a:p>
                <a:pPr algn="ctr">
                  <a:defRPr/>
                </a:pPr>
                <a:r>
                  <a:rPr lang="en-US" cap="none" sz="575" b="1" i="0" u="none" baseline="0">
                    <a:latin typeface="Arial"/>
                    <a:ea typeface="Arial"/>
                    <a:cs typeface="Arial"/>
                  </a:rPr>
                  <a:t>Bq/kg</a:t>
                </a:r>
              </a:p>
            </c:rich>
          </c:tx>
          <c:layout/>
          <c:overlay val="0"/>
          <c:spPr>
            <a:noFill/>
            <a:ln>
              <a:noFill/>
            </a:ln>
          </c:spPr>
        </c:title>
        <c:majorGridlines/>
        <c:delete val="0"/>
        <c:numFmt formatCode="General" sourceLinked="1"/>
        <c:majorTickMark val="in"/>
        <c:minorTickMark val="none"/>
        <c:tickLblPos val="nextTo"/>
        <c:txPr>
          <a:bodyPr/>
          <a:lstStyle/>
          <a:p>
            <a:pPr>
              <a:defRPr lang="en-US" cap="none" sz="450" b="0" i="0" u="none" baseline="0">
                <a:latin typeface="Arial"/>
                <a:ea typeface="Arial"/>
                <a:cs typeface="Arial"/>
              </a:defRPr>
            </a:pPr>
          </a:p>
        </c:txPr>
        <c:crossAx val="34745834"/>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137Cs Messung</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'[1]Beispiel 3'!$F$2</c:f>
              <c:strCache>
                <c:ptCount val="1"/>
                <c:pt idx="0">
                  <c:v>P2 (1380m)</c:v>
                </c:pt>
              </c:strCache>
            </c:strRef>
          </c:cat>
          <c:val>
            <c:numRef>
              <c:f>'[1]Beispiel 3'!$F$3</c:f>
              <c:numCache>
                <c:ptCount val="1"/>
                <c:pt idx="0">
                  <c:v>244.75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'[1]Beispiel 3'!$F$2</c:f>
              <c:strCache>
                <c:ptCount val="1"/>
                <c:pt idx="0">
                  <c:v>P2 (1380m)</c:v>
                </c:pt>
              </c:strCache>
            </c:strRef>
          </c:cat>
          <c:val>
            <c:numRef>
              <c:f>'[1]Beispiel 3'!$F$4</c:f>
              <c:numCache>
                <c:ptCount val="1"/>
                <c:pt idx="0">
                  <c:v>75</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strRef>
              <c:f>'[1]Beispiel 3'!$F$2</c:f>
              <c:strCache>
                <c:ptCount val="1"/>
                <c:pt idx="0">
                  <c:v>P2 (1380m)</c:v>
                </c:pt>
              </c:strCache>
            </c:strRef>
          </c:cat>
          <c:val>
            <c:numRef>
              <c:f>'[1]Beispiel 3'!$F$5</c:f>
              <c:numCache>
                <c:ptCount val="1"/>
                <c:pt idx="0">
                  <c:v>634</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strRef>
              <c:f>'[1]Beispiel 3'!$F$2</c:f>
              <c:strCache>
                <c:ptCount val="1"/>
                <c:pt idx="0">
                  <c:v>P2 (1380m)</c:v>
                </c:pt>
              </c:strCache>
            </c:strRef>
          </c:cat>
          <c:val>
            <c:numRef>
              <c:f>'[1]Beispiel 3'!$F$6</c:f>
              <c:numCache>
                <c:ptCount val="1"/>
                <c:pt idx="0">
                  <c:v>155.75</c:v>
                </c:pt>
              </c:numCache>
            </c:numRef>
          </c:val>
          <c:smooth val="0"/>
        </c:ser>
        <c:hiLowLines>
          <c:spPr>
            <a:ln w="38100">
              <a:solidFill/>
            </a:ln>
          </c:spPr>
        </c:hiLowLines>
        <c:upDownBars>
          <c:upBars/>
          <c:downBars/>
        </c:upDownBars>
        <c:axId val="62949140"/>
        <c:axId val="29671349"/>
      </c:lineChart>
      <c:catAx>
        <c:axId val="62949140"/>
        <c:scaling>
          <c:orientation val="minMax"/>
        </c:scaling>
        <c:axPos val="b"/>
        <c:delete val="0"/>
        <c:numFmt formatCode="General" sourceLinked="1"/>
        <c:majorTickMark val="in"/>
        <c:minorTickMark val="none"/>
        <c:tickLblPos val="nextTo"/>
        <c:crossAx val="29671349"/>
        <c:crosses val="autoZero"/>
        <c:auto val="1"/>
        <c:lblOffset val="100"/>
        <c:noMultiLvlLbl val="0"/>
      </c:catAx>
      <c:valAx>
        <c:axId val="29671349"/>
        <c:scaling>
          <c:orientation val="minMax"/>
          <c:max val="650"/>
        </c:scaling>
        <c:axPos val="l"/>
        <c:title>
          <c:tx>
            <c:rich>
              <a:bodyPr vert="horz" rot="-5400000" anchor="ctr"/>
              <a:lstStyle/>
              <a:p>
                <a:pPr algn="ctr">
                  <a:defRPr/>
                </a:pPr>
                <a:r>
                  <a:rPr lang="en-US" cap="none" sz="575" b="1" i="0" u="none" baseline="0">
                    <a:latin typeface="Arial"/>
                    <a:ea typeface="Arial"/>
                    <a:cs typeface="Arial"/>
                  </a:rPr>
                  <a:t>Bq/kg</a:t>
                </a:r>
              </a:p>
            </c:rich>
          </c:tx>
          <c:layout/>
          <c:overlay val="0"/>
          <c:spPr>
            <a:noFill/>
            <a:ln>
              <a:noFill/>
            </a:ln>
          </c:spPr>
        </c:title>
        <c:majorGridlines/>
        <c:delete val="0"/>
        <c:numFmt formatCode="General" sourceLinked="1"/>
        <c:majorTickMark val="in"/>
        <c:minorTickMark val="none"/>
        <c:tickLblPos val="nextTo"/>
        <c:txPr>
          <a:bodyPr/>
          <a:lstStyle/>
          <a:p>
            <a:pPr>
              <a:defRPr lang="en-US" cap="none" sz="450" b="0" i="0" u="none" baseline="0">
                <a:latin typeface="Arial"/>
                <a:ea typeface="Arial"/>
                <a:cs typeface="Arial"/>
              </a:defRPr>
            </a:pPr>
          </a:p>
        </c:txPr>
        <c:crossAx val="62949140"/>
        <c:crossesAt val="1"/>
        <c:crossBetween val="between"/>
        <c:dispUnits/>
        <c:maj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137 Cs Messung</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3'!$E$2:$F$2</c:f>
              <c:strCache>
                <c:ptCount val="2"/>
                <c:pt idx="0">
                  <c:v>P1 (1000m)</c:v>
                </c:pt>
                <c:pt idx="1">
                  <c:v>P2 (1380m)</c:v>
                </c:pt>
              </c:strCache>
            </c:strRef>
          </c:cat>
          <c:val>
            <c:numRef>
              <c:f>'[1]Beispiel 3'!$E$3:$F$3</c:f>
              <c:numCache>
                <c:ptCount val="2"/>
                <c:pt idx="0">
                  <c:v>40.5</c:v>
                </c:pt>
                <c:pt idx="1">
                  <c:v>244.75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3'!$E$2:$F$2</c:f>
              <c:strCache>
                <c:ptCount val="2"/>
                <c:pt idx="0">
                  <c:v>P1 (1000m)</c:v>
                </c:pt>
                <c:pt idx="1">
                  <c:v>P2 (1380m)</c:v>
                </c:pt>
              </c:strCache>
            </c:strRef>
          </c:cat>
          <c:val>
            <c:numRef>
              <c:f>'[1]Beispiel 3'!$E$4:$F$4</c:f>
              <c:numCache>
                <c:ptCount val="2"/>
                <c:pt idx="0">
                  <c:v>19</c:v>
                </c:pt>
                <c:pt idx="1">
                  <c:v>75</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3'!$E$2:$F$2</c:f>
              <c:strCache>
                <c:ptCount val="2"/>
                <c:pt idx="0">
                  <c:v>P1 (1000m)</c:v>
                </c:pt>
                <c:pt idx="1">
                  <c:v>P2 (1380m)</c:v>
                </c:pt>
              </c:strCache>
            </c:strRef>
          </c:cat>
          <c:val>
            <c:numRef>
              <c:f>'[1]Beispiel 3'!$E$5:$F$5</c:f>
              <c:numCache>
                <c:ptCount val="2"/>
                <c:pt idx="0">
                  <c:v>92</c:v>
                </c:pt>
                <c:pt idx="1">
                  <c:v>634</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strRef>
              <c:f>'[1]Beispiel 3'!$E$2:$F$2</c:f>
              <c:strCache>
                <c:ptCount val="2"/>
                <c:pt idx="0">
                  <c:v>P1 (1000m)</c:v>
                </c:pt>
                <c:pt idx="1">
                  <c:v>P2 (1380m)</c:v>
                </c:pt>
              </c:strCache>
            </c:strRef>
          </c:cat>
          <c:val>
            <c:numRef>
              <c:f>'[1]Beispiel 3'!$E$6:$F$6</c:f>
              <c:numCache>
                <c:ptCount val="2"/>
                <c:pt idx="0">
                  <c:v>28.25</c:v>
                </c:pt>
                <c:pt idx="1">
                  <c:v>155.75</c:v>
                </c:pt>
              </c:numCache>
            </c:numRef>
          </c:val>
          <c:smooth val="0"/>
        </c:ser>
        <c:hiLowLines>
          <c:spPr>
            <a:ln w="38100">
              <a:solidFill/>
            </a:ln>
          </c:spPr>
        </c:hiLowLines>
        <c:upDownBars>
          <c:upBars/>
          <c:downBars/>
        </c:upDownBars>
        <c:axId val="65715550"/>
        <c:axId val="54569039"/>
      </c:lineChart>
      <c:catAx>
        <c:axId val="65715550"/>
        <c:scaling>
          <c:orientation val="minMax"/>
        </c:scaling>
        <c:axPos val="b"/>
        <c:delete val="0"/>
        <c:numFmt formatCode="General" sourceLinked="1"/>
        <c:majorTickMark val="in"/>
        <c:minorTickMark val="none"/>
        <c:tickLblPos val="nextTo"/>
        <c:crossAx val="54569039"/>
        <c:crosses val="autoZero"/>
        <c:auto val="1"/>
        <c:lblOffset val="100"/>
        <c:noMultiLvlLbl val="0"/>
      </c:catAx>
      <c:valAx>
        <c:axId val="54569039"/>
        <c:scaling>
          <c:orientation val="minMax"/>
        </c:scaling>
        <c:axPos val="l"/>
        <c:title>
          <c:tx>
            <c:rich>
              <a:bodyPr vert="horz" rot="-5400000" anchor="ctr"/>
              <a:lstStyle/>
              <a:p>
                <a:pPr algn="ctr">
                  <a:defRPr/>
                </a:pPr>
                <a:r>
                  <a:rPr lang="en-US" cap="none" sz="500" b="1" i="0" u="none" baseline="0">
                    <a:latin typeface="Arial"/>
                    <a:ea typeface="Arial"/>
                    <a:cs typeface="Arial"/>
                  </a:rPr>
                  <a:t>Bq/kg</a:t>
                </a:r>
              </a:p>
            </c:rich>
          </c:tx>
          <c:layout/>
          <c:overlay val="0"/>
          <c:spPr>
            <a:noFill/>
            <a:ln>
              <a:noFill/>
            </a:ln>
          </c:spPr>
        </c:title>
        <c:majorGridlines/>
        <c:delete val="0"/>
        <c:numFmt formatCode="General" sourceLinked="1"/>
        <c:majorTickMark val="in"/>
        <c:minorTickMark val="none"/>
        <c:tickLblPos val="nextTo"/>
        <c:txPr>
          <a:bodyPr/>
          <a:lstStyle/>
          <a:p>
            <a:pPr>
              <a:defRPr lang="en-US" cap="none" sz="400" b="0" i="0" u="none" baseline="0">
                <a:latin typeface="Arial"/>
                <a:ea typeface="Arial"/>
                <a:cs typeface="Arial"/>
              </a:defRPr>
            </a:pPr>
          </a:p>
        </c:txPr>
        <c:crossAx val="65715550"/>
        <c:crossesAt val="1"/>
        <c:crossBetween val="between"/>
        <c:dispUnits/>
        <c:maj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Summenkurve Einkommen Österreich 2001</a:t>
            </a:r>
          </a:p>
        </c:rich>
      </c:tx>
      <c:layout>
        <c:manualLayout>
          <c:xMode val="factor"/>
          <c:yMode val="factor"/>
          <c:x val="0"/>
          <c:y val="0.00725"/>
        </c:manualLayout>
      </c:layout>
      <c:spPr>
        <a:noFill/>
        <a:ln>
          <a:noFill/>
        </a:ln>
      </c:spPr>
    </c:title>
    <c:plotArea>
      <c:layout>
        <c:manualLayout>
          <c:xMode val="edge"/>
          <c:yMode val="edge"/>
          <c:x val="0.079"/>
          <c:y val="0.1575"/>
          <c:w val="0.89725"/>
          <c:h val="0.729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'bsp.4'!$D$6:$D$16</c:f>
              <c:numCache/>
            </c:numRef>
          </c:xVal>
          <c:yVal>
            <c:numRef>
              <c:f>'bsp.4'!$B$6:$B$16</c:f>
              <c:numCache/>
            </c:numRef>
          </c:yVal>
          <c:smooth val="0"/>
        </c:ser>
        <c:ser>
          <c:idx val="1"/>
          <c:order val="1"/>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xVal>
            <c:numRef>
              <c:f>'bsp.4'!$F$7:$F$17</c:f>
              <c:numCache/>
            </c:numRef>
          </c:xVal>
          <c:yVal>
            <c:numRef>
              <c:f>'bsp.4'!$G$7:$G$17</c:f>
              <c:numCache/>
            </c:numRef>
          </c:yVal>
          <c:smooth val="0"/>
        </c:ser>
        <c:axId val="21359304"/>
        <c:axId val="58016009"/>
      </c:scatterChart>
      <c:valAx>
        <c:axId val="21359304"/>
        <c:scaling>
          <c:orientation val="minMax"/>
        </c:scaling>
        <c:axPos val="b"/>
        <c:title>
          <c:tx>
            <c:rich>
              <a:bodyPr vert="horz" rot="0" anchor="ctr"/>
              <a:lstStyle/>
              <a:p>
                <a:pPr algn="ctr">
                  <a:defRPr/>
                </a:pPr>
                <a:r>
                  <a:rPr lang="en-US" cap="none" sz="875" b="1" i="0" u="none" baseline="0">
                    <a:latin typeface="Arial"/>
                    <a:ea typeface="Arial"/>
                    <a:cs typeface="Arial"/>
                  </a:rPr>
                  <a:t>Jahresnettoeinkommen</a:t>
                </a:r>
              </a:p>
            </c:rich>
          </c:tx>
          <c:layout/>
          <c:overlay val="0"/>
          <c:spPr>
            <a:noFill/>
            <a:ln>
              <a:noFill/>
            </a:ln>
          </c:spPr>
        </c:title>
        <c:majorGridlines/>
        <c:delete val="0"/>
        <c:numFmt formatCode="General" sourceLinked="1"/>
        <c:majorTickMark val="out"/>
        <c:minorTickMark val="none"/>
        <c:tickLblPos val="nextTo"/>
        <c:crossAx val="58016009"/>
        <c:crosses val="autoZero"/>
        <c:crossBetween val="midCat"/>
        <c:dispUnits/>
      </c:valAx>
      <c:valAx>
        <c:axId val="58016009"/>
        <c:scaling>
          <c:orientation val="minMax"/>
        </c:scaling>
        <c:axPos val="l"/>
        <c:title>
          <c:tx>
            <c:rich>
              <a:bodyPr vert="horz" rot="-5400000" anchor="ctr"/>
              <a:lstStyle/>
              <a:p>
                <a:pPr algn="ctr">
                  <a:defRPr/>
                </a:pPr>
                <a:r>
                  <a:rPr lang="en-US" cap="none" sz="875" b="1" i="0" u="none" baseline="0">
                    <a:latin typeface="Arial"/>
                    <a:ea typeface="Arial"/>
                    <a:cs typeface="Arial"/>
                  </a:rPr>
                  <a:t>Percentil / Dezil</a:t>
                </a:r>
              </a:p>
            </c:rich>
          </c:tx>
          <c:layout/>
          <c:overlay val="0"/>
          <c:spPr>
            <a:noFill/>
            <a:ln>
              <a:noFill/>
            </a:ln>
          </c:spPr>
        </c:title>
        <c:majorGridlines/>
        <c:delete val="0"/>
        <c:numFmt formatCode="General" sourceLinked="1"/>
        <c:majorTickMark val="out"/>
        <c:minorTickMark val="none"/>
        <c:tickLblPos val="nextTo"/>
        <c:crossAx val="213593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Einkommensverteilung in Österreich im Jahr 2001 </a:t>
            </a:r>
          </a:p>
        </c:rich>
      </c:tx>
      <c:layout>
        <c:manualLayout>
          <c:xMode val="factor"/>
          <c:yMode val="factor"/>
          <c:x val="0"/>
          <c:y val="0.01925"/>
        </c:manualLayout>
      </c:layout>
      <c:spPr>
        <a:noFill/>
        <a:ln>
          <a:noFill/>
        </a:ln>
      </c:spPr>
    </c:title>
    <c:plotArea>
      <c:layout>
        <c:manualLayout>
          <c:xMode val="edge"/>
          <c:yMode val="edge"/>
          <c:x val="0.1155"/>
          <c:y val="0.221"/>
          <c:w val="0.861"/>
          <c:h val="0.66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'bsp.4'!$H$7:$H$13</c:f>
              <c:strCache/>
            </c:strRef>
          </c:cat>
          <c:val>
            <c:numRef>
              <c:f>'bsp.4'!$I$7:$I$13</c:f>
              <c:numCache/>
            </c:numRef>
          </c:val>
        </c:ser>
        <c:gapWidth val="10"/>
        <c:axId val="52382034"/>
        <c:axId val="1676259"/>
      </c:barChart>
      <c:catAx>
        <c:axId val="52382034"/>
        <c:scaling>
          <c:orientation val="minMax"/>
        </c:scaling>
        <c:axPos val="b"/>
        <c:title>
          <c:tx>
            <c:rich>
              <a:bodyPr vert="horz" rot="0" anchor="ctr"/>
              <a:lstStyle/>
              <a:p>
                <a:pPr algn="ctr">
                  <a:defRPr/>
                </a:pPr>
                <a:r>
                  <a:rPr lang="en-US" cap="none" sz="875" b="1" i="0" u="none" baseline="0">
                    <a:latin typeface="Arial"/>
                    <a:ea typeface="Arial"/>
                    <a:cs typeface="Arial"/>
                  </a:rPr>
                  <a:t>Einkommensklasse</a:t>
                </a:r>
              </a:p>
            </c:rich>
          </c:tx>
          <c:layout/>
          <c:overlay val="0"/>
          <c:spPr>
            <a:noFill/>
            <a:ln>
              <a:noFill/>
            </a:ln>
          </c:spPr>
        </c:title>
        <c:delete val="0"/>
        <c:numFmt formatCode="General" sourceLinked="1"/>
        <c:majorTickMark val="out"/>
        <c:minorTickMark val="none"/>
        <c:tickLblPos val="nextTo"/>
        <c:crossAx val="1676259"/>
        <c:crosses val="autoZero"/>
        <c:auto val="1"/>
        <c:lblOffset val="100"/>
        <c:noMultiLvlLbl val="0"/>
      </c:catAx>
      <c:valAx>
        <c:axId val="1676259"/>
        <c:scaling>
          <c:orientation val="minMax"/>
        </c:scaling>
        <c:axPos val="l"/>
        <c:title>
          <c:tx>
            <c:rich>
              <a:bodyPr vert="horz" rot="-5400000" anchor="ctr"/>
              <a:lstStyle/>
              <a:p>
                <a:pPr algn="ctr">
                  <a:defRPr/>
                </a:pPr>
                <a:r>
                  <a:rPr lang="en-US" cap="none" sz="875" b="1" i="0" u="none" baseline="0">
                    <a:latin typeface="Arial"/>
                    <a:ea typeface="Arial"/>
                    <a:cs typeface="Arial"/>
                  </a:rPr>
                  <a:t>re. Häufigkeit (15% der Einkommensbezieher)</a:t>
                </a:r>
              </a:p>
            </c:rich>
          </c:tx>
          <c:layout/>
          <c:overlay val="0"/>
          <c:spPr>
            <a:noFill/>
            <a:ln>
              <a:noFill/>
            </a:ln>
          </c:spPr>
        </c:title>
        <c:majorGridlines/>
        <c:delete val="0"/>
        <c:numFmt formatCode="General" sourceLinked="1"/>
        <c:majorTickMark val="out"/>
        <c:minorTickMark val="none"/>
        <c:tickLblPos val="nextTo"/>
        <c:crossAx val="5238203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104775</xdr:rowOff>
    </xdr:from>
    <xdr:to>
      <xdr:col>11</xdr:col>
      <xdr:colOff>381000</xdr:colOff>
      <xdr:row>54</xdr:row>
      <xdr:rowOff>104775</xdr:rowOff>
    </xdr:to>
    <xdr:graphicFrame>
      <xdr:nvGraphicFramePr>
        <xdr:cNvPr id="1" name="Chart 1"/>
        <xdr:cNvGraphicFramePr/>
      </xdr:nvGraphicFramePr>
      <xdr:xfrm>
        <a:off x="123825" y="5819775"/>
        <a:ext cx="6019800" cy="3724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76200</xdr:rowOff>
    </xdr:from>
    <xdr:to>
      <xdr:col>6</xdr:col>
      <xdr:colOff>238125</xdr:colOff>
      <xdr:row>48</xdr:row>
      <xdr:rowOff>142875</xdr:rowOff>
    </xdr:to>
    <xdr:graphicFrame>
      <xdr:nvGraphicFramePr>
        <xdr:cNvPr id="1" name="Chart 1"/>
        <xdr:cNvGraphicFramePr/>
      </xdr:nvGraphicFramePr>
      <xdr:xfrm>
        <a:off x="0" y="4124325"/>
        <a:ext cx="4676775" cy="3790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104775</xdr:rowOff>
    </xdr:from>
    <xdr:to>
      <xdr:col>3</xdr:col>
      <xdr:colOff>447675</xdr:colOff>
      <xdr:row>33</xdr:row>
      <xdr:rowOff>0</xdr:rowOff>
    </xdr:to>
    <xdr:graphicFrame>
      <xdr:nvGraphicFramePr>
        <xdr:cNvPr id="1" name="Chart 1"/>
        <xdr:cNvGraphicFramePr/>
      </xdr:nvGraphicFramePr>
      <xdr:xfrm>
        <a:off x="114300" y="2647950"/>
        <a:ext cx="2162175" cy="2809875"/>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34</xdr:row>
      <xdr:rowOff>9525</xdr:rowOff>
    </xdr:from>
    <xdr:to>
      <xdr:col>3</xdr:col>
      <xdr:colOff>504825</xdr:colOff>
      <xdr:row>49</xdr:row>
      <xdr:rowOff>85725</xdr:rowOff>
    </xdr:to>
    <xdr:graphicFrame>
      <xdr:nvGraphicFramePr>
        <xdr:cNvPr id="2" name="Chart 2"/>
        <xdr:cNvGraphicFramePr/>
      </xdr:nvGraphicFramePr>
      <xdr:xfrm>
        <a:off x="190500" y="5629275"/>
        <a:ext cx="2143125" cy="2505075"/>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15</xdr:row>
      <xdr:rowOff>104775</xdr:rowOff>
    </xdr:from>
    <xdr:to>
      <xdr:col>6</xdr:col>
      <xdr:colOff>676275</xdr:colOff>
      <xdr:row>33</xdr:row>
      <xdr:rowOff>0</xdr:rowOff>
    </xdr:to>
    <xdr:graphicFrame>
      <xdr:nvGraphicFramePr>
        <xdr:cNvPr id="3" name="Chart 3"/>
        <xdr:cNvGraphicFramePr/>
      </xdr:nvGraphicFramePr>
      <xdr:xfrm>
        <a:off x="2352675" y="2647950"/>
        <a:ext cx="2400300" cy="28098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1876425</xdr:rowOff>
    </xdr:from>
    <xdr:to>
      <xdr:col>14</xdr:col>
      <xdr:colOff>619125</xdr:colOff>
      <xdr:row>17</xdr:row>
      <xdr:rowOff>152400</xdr:rowOff>
    </xdr:to>
    <xdr:graphicFrame>
      <xdr:nvGraphicFramePr>
        <xdr:cNvPr id="1" name="Chart 1"/>
        <xdr:cNvGraphicFramePr/>
      </xdr:nvGraphicFramePr>
      <xdr:xfrm>
        <a:off x="6657975" y="2200275"/>
        <a:ext cx="4067175" cy="2867025"/>
      </xdr:xfrm>
      <a:graphic>
        <a:graphicData uri="http://schemas.openxmlformats.org/drawingml/2006/chart">
          <c:chart xmlns:c="http://schemas.openxmlformats.org/drawingml/2006/chart" r:id="rId1"/>
        </a:graphicData>
      </a:graphic>
    </xdr:graphicFrame>
    <xdr:clientData/>
  </xdr:twoCellAnchor>
  <xdr:twoCellAnchor>
    <xdr:from>
      <xdr:col>9</xdr:col>
      <xdr:colOff>342900</xdr:colOff>
      <xdr:row>18</xdr:row>
      <xdr:rowOff>76200</xdr:rowOff>
    </xdr:from>
    <xdr:to>
      <xdr:col>14</xdr:col>
      <xdr:colOff>657225</xdr:colOff>
      <xdr:row>30</xdr:row>
      <xdr:rowOff>114300</xdr:rowOff>
    </xdr:to>
    <xdr:graphicFrame>
      <xdr:nvGraphicFramePr>
        <xdr:cNvPr id="2" name="Chart 6"/>
        <xdr:cNvGraphicFramePr/>
      </xdr:nvGraphicFramePr>
      <xdr:xfrm>
        <a:off x="6638925" y="5153025"/>
        <a:ext cx="4124325" cy="2800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me\Eudora\attach\H&#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ispiel 1"/>
      <sheetName val="Beispiel 2"/>
      <sheetName val="Beispiel 3"/>
      <sheetName val="Beispiel 4"/>
    </sheetNames>
    <sheetDataSet>
      <sheetData sheetId="2">
        <row r="2">
          <cell r="E2" t="str">
            <v>P1 (1000m)</v>
          </cell>
          <cell r="F2" t="str">
            <v>P2 (1380m)</v>
          </cell>
        </row>
        <row r="3">
          <cell r="E3">
            <v>40.5</v>
          </cell>
          <cell r="F3">
            <v>244.75</v>
          </cell>
        </row>
        <row r="4">
          <cell r="E4">
            <v>19</v>
          </cell>
          <cell r="F4">
            <v>75</v>
          </cell>
        </row>
        <row r="5">
          <cell r="E5">
            <v>92</v>
          </cell>
          <cell r="F5">
            <v>634</v>
          </cell>
        </row>
        <row r="6">
          <cell r="E6">
            <v>28.25</v>
          </cell>
          <cell r="F6">
            <v>155.75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0"/>
  <sheetViews>
    <sheetView workbookViewId="0" topLeftCell="A34">
      <selection activeCell="G53" sqref="G53"/>
    </sheetView>
  </sheetViews>
  <sheetFormatPr defaultColWidth="11.421875" defaultRowHeight="12.75"/>
  <cols>
    <col min="1" max="1" width="7.00390625" style="0" customWidth="1"/>
    <col min="2" max="2" width="6.140625" style="0" customWidth="1"/>
    <col min="3" max="3" width="8.8515625" style="0" customWidth="1"/>
    <col min="4" max="4" width="10.421875" style="0" customWidth="1"/>
    <col min="5" max="5" width="6.00390625" style="0" customWidth="1"/>
    <col min="6" max="6" width="9.28125" style="0" customWidth="1"/>
    <col min="7" max="7" width="6.28125" style="0" customWidth="1"/>
    <col min="8" max="8" width="9.8515625" style="0" customWidth="1"/>
    <col min="9" max="9" width="9.140625" style="0" customWidth="1"/>
    <col min="10" max="10" width="7.140625" style="0" customWidth="1"/>
    <col min="11" max="11" width="6.28125" style="0" customWidth="1"/>
    <col min="12" max="12" width="8.421875" style="0" customWidth="1"/>
  </cols>
  <sheetData>
    <row r="1" spans="1:12" ht="12.75">
      <c r="A1" s="42" t="s">
        <v>68</v>
      </c>
      <c r="B1" s="42"/>
      <c r="C1" s="42"/>
      <c r="D1" s="42"/>
      <c r="E1" s="42"/>
      <c r="F1" s="42"/>
      <c r="G1" s="42"/>
      <c r="H1" s="42"/>
      <c r="I1" s="42"/>
      <c r="J1" s="42"/>
      <c r="K1" s="42"/>
      <c r="L1" s="42"/>
    </row>
    <row r="2" spans="1:12" ht="12.75">
      <c r="A2" s="42"/>
      <c r="B2" s="42"/>
      <c r="C2" s="42"/>
      <c r="D2" s="42"/>
      <c r="E2" s="42"/>
      <c r="F2" s="42"/>
      <c r="G2" s="42"/>
      <c r="H2" s="42"/>
      <c r="I2" s="42"/>
      <c r="J2" s="42"/>
      <c r="K2" s="42"/>
      <c r="L2" s="42"/>
    </row>
    <row r="3" spans="1:12" ht="63" customHeight="1">
      <c r="A3" s="42"/>
      <c r="B3" s="42"/>
      <c r="C3" s="42"/>
      <c r="D3" s="42"/>
      <c r="E3" s="42"/>
      <c r="F3" s="42"/>
      <c r="G3" s="42"/>
      <c r="H3" s="42"/>
      <c r="I3" s="42"/>
      <c r="J3" s="42"/>
      <c r="K3" s="42"/>
      <c r="L3" s="42"/>
    </row>
    <row r="4" spans="1:12" ht="17.25" customHeight="1">
      <c r="A4" s="29"/>
      <c r="B4" s="29"/>
      <c r="C4" s="29"/>
      <c r="D4" s="29"/>
      <c r="E4" s="29"/>
      <c r="F4" s="29"/>
      <c r="G4" s="19">
        <v>2001</v>
      </c>
      <c r="L4" s="20">
        <v>2050</v>
      </c>
    </row>
    <row r="5" spans="3:11" ht="12.75">
      <c r="C5">
        <v>2001</v>
      </c>
      <c r="F5" t="s">
        <v>3</v>
      </c>
      <c r="G5" t="s">
        <v>0</v>
      </c>
      <c r="H5">
        <v>2050</v>
      </c>
      <c r="K5" t="s">
        <v>3</v>
      </c>
    </row>
    <row r="6" spans="1:12" ht="12.75">
      <c r="A6" t="s">
        <v>5</v>
      </c>
      <c r="B6" s="2">
        <v>2.5</v>
      </c>
      <c r="C6" s="1">
        <v>408256</v>
      </c>
      <c r="D6" s="1">
        <f>C6</f>
        <v>408256</v>
      </c>
      <c r="E6" s="21">
        <f aca="true" t="shared" si="0" ref="E6:E25">C6/$C$26</f>
        <v>0.050831469851436085</v>
      </c>
      <c r="F6" s="17">
        <f>(B6-$G$28)^2*C6/$C$26</f>
        <v>70.4853017992004</v>
      </c>
      <c r="G6" s="3">
        <f>C6*B6/$C$26</f>
        <v>0.1270786746285902</v>
      </c>
      <c r="H6" s="1">
        <v>319956</v>
      </c>
      <c r="I6" s="1">
        <f>H6</f>
        <v>319956</v>
      </c>
      <c r="J6" s="21">
        <f aca="true" t="shared" si="1" ref="J6:J25">H6/$H$26</f>
        <v>0.03919734842475432</v>
      </c>
      <c r="K6" s="1">
        <f>(B6-$L$28)^2*H6/$H$26</f>
        <v>81.8266822346473</v>
      </c>
      <c r="L6" s="3">
        <f>H6*B6/$H$26</f>
        <v>0.09799337106188581</v>
      </c>
    </row>
    <row r="7" spans="1:12" ht="12.75">
      <c r="A7" s="22" t="s">
        <v>21</v>
      </c>
      <c r="B7" s="2">
        <v>7.5</v>
      </c>
      <c r="C7" s="1">
        <v>468689</v>
      </c>
      <c r="D7" s="1">
        <f>D6+C7</f>
        <v>876945</v>
      </c>
      <c r="E7" s="21">
        <f t="shared" si="0"/>
        <v>0.058355910931375723</v>
      </c>
      <c r="F7" s="17">
        <f aca="true" t="shared" si="2" ref="F7:F25">(B7-$G$28)^2*C7/$C$26</f>
        <v>60.64753872362338</v>
      </c>
      <c r="G7" s="3">
        <f aca="true" t="shared" si="3" ref="G7:G25">C7*B7/$C$26</f>
        <v>0.43766933198531793</v>
      </c>
      <c r="H7" s="1">
        <v>331193</v>
      </c>
      <c r="I7" s="1">
        <f>I6+H7</f>
        <v>651149</v>
      </c>
      <c r="J7" s="21">
        <f t="shared" si="1"/>
        <v>0.04057397709947511</v>
      </c>
      <c r="K7" s="1">
        <f aca="true" t="shared" si="4" ref="K7:K25">(B7-$L$28)^2*H7/$H$26</f>
        <v>67.17665847552682</v>
      </c>
      <c r="L7" s="3">
        <f aca="true" t="shared" si="5" ref="L7:L25">H7*B7/$H$26</f>
        <v>0.30430482824606336</v>
      </c>
    </row>
    <row r="8" spans="1:12" ht="12.75">
      <c r="A8" s="22" t="s">
        <v>22</v>
      </c>
      <c r="B8" s="2">
        <v>12.5</v>
      </c>
      <c r="C8" s="1">
        <v>475052</v>
      </c>
      <c r="D8" s="1">
        <f aca="true" t="shared" si="6" ref="D8:D25">D7+C8</f>
        <v>1351997</v>
      </c>
      <c r="E8" s="21">
        <f t="shared" si="0"/>
        <v>0.05914816050680067</v>
      </c>
      <c r="F8" s="17">
        <f t="shared" si="2"/>
        <v>43.88159227128354</v>
      </c>
      <c r="G8" s="3">
        <f t="shared" si="3"/>
        <v>0.7393520063350084</v>
      </c>
      <c r="H8" s="1">
        <v>344441</v>
      </c>
      <c r="I8" s="1">
        <f aca="true" t="shared" si="7" ref="I8:I25">I7+H8</f>
        <v>995590</v>
      </c>
      <c r="J8" s="21">
        <f t="shared" si="1"/>
        <v>0.04219697048585057</v>
      </c>
      <c r="K8" s="1">
        <f t="shared" si="4"/>
        <v>53.7488487634014</v>
      </c>
      <c r="L8" s="3">
        <f t="shared" si="5"/>
        <v>0.5274621310731321</v>
      </c>
    </row>
    <row r="9" spans="1:12" ht="12.75">
      <c r="A9" t="s">
        <v>6</v>
      </c>
      <c r="B9" s="2">
        <v>17.5</v>
      </c>
      <c r="C9" s="1">
        <v>483181</v>
      </c>
      <c r="D9" s="1">
        <f t="shared" si="6"/>
        <v>1835178</v>
      </c>
      <c r="E9" s="21">
        <f t="shared" si="0"/>
        <v>0.06016029264551345</v>
      </c>
      <c r="F9" s="17">
        <f t="shared" si="2"/>
        <v>29.750207959608197</v>
      </c>
      <c r="G9" s="3">
        <f t="shared" si="3"/>
        <v>1.0528051212964853</v>
      </c>
      <c r="H9" s="1">
        <v>364215</v>
      </c>
      <c r="I9" s="1">
        <f t="shared" si="7"/>
        <v>1359805</v>
      </c>
      <c r="J9" s="21">
        <f t="shared" si="1"/>
        <v>0.04461945472665584</v>
      </c>
      <c r="K9" s="1">
        <f t="shared" si="4"/>
        <v>42.025412673823006</v>
      </c>
      <c r="L9" s="3">
        <f t="shared" si="5"/>
        <v>0.7808404577164773</v>
      </c>
    </row>
    <row r="10" spans="1:12" ht="12.75">
      <c r="A10" t="s">
        <v>7</v>
      </c>
      <c r="B10" s="2">
        <v>22.5</v>
      </c>
      <c r="C10" s="1">
        <v>474725</v>
      </c>
      <c r="D10" s="1">
        <f t="shared" si="6"/>
        <v>2309903</v>
      </c>
      <c r="E10" s="21">
        <f t="shared" si="0"/>
        <v>0.05910744612503673</v>
      </c>
      <c r="F10" s="17">
        <f t="shared" si="2"/>
        <v>17.563103435723686</v>
      </c>
      <c r="G10" s="3">
        <f t="shared" si="3"/>
        <v>1.3299175378133263</v>
      </c>
      <c r="H10" s="1">
        <v>400783</v>
      </c>
      <c r="I10" s="1">
        <f t="shared" si="7"/>
        <v>1760588</v>
      </c>
      <c r="J10" s="21">
        <f t="shared" si="1"/>
        <v>0.04909934770317891</v>
      </c>
      <c r="K10" s="1">
        <f t="shared" si="4"/>
        <v>32.40385684943595</v>
      </c>
      <c r="L10" s="3">
        <f t="shared" si="5"/>
        <v>1.1047353233215256</v>
      </c>
    </row>
    <row r="11" spans="1:12" ht="12.75">
      <c r="A11" t="s">
        <v>8</v>
      </c>
      <c r="B11" s="2">
        <v>27.5</v>
      </c>
      <c r="C11" s="1">
        <v>536333</v>
      </c>
      <c r="D11" s="1">
        <f t="shared" si="6"/>
        <v>2846236</v>
      </c>
      <c r="E11" s="21">
        <f t="shared" si="0"/>
        <v>0.06677818505993854</v>
      </c>
      <c r="F11" s="17">
        <f t="shared" si="2"/>
        <v>10.000801768626477</v>
      </c>
      <c r="G11" s="3">
        <f t="shared" si="3"/>
        <v>1.8364000891483099</v>
      </c>
      <c r="H11" s="1">
        <v>440894</v>
      </c>
      <c r="I11" s="1">
        <f t="shared" si="7"/>
        <v>2201482</v>
      </c>
      <c r="J11" s="21">
        <f t="shared" si="1"/>
        <v>0.05401328850336807</v>
      </c>
      <c r="K11" s="1">
        <f t="shared" si="4"/>
        <v>23.121320208874987</v>
      </c>
      <c r="L11" s="3">
        <f t="shared" si="5"/>
        <v>1.4853654338426219</v>
      </c>
    </row>
    <row r="12" spans="1:12" ht="12.75">
      <c r="A12" t="s">
        <v>9</v>
      </c>
      <c r="B12" s="2">
        <v>32.5</v>
      </c>
      <c r="C12" s="1">
        <v>665323</v>
      </c>
      <c r="D12" s="1">
        <f t="shared" si="6"/>
        <v>3511559</v>
      </c>
      <c r="E12" s="21">
        <f t="shared" si="0"/>
        <v>0.08283857681446692</v>
      </c>
      <c r="F12" s="17">
        <f t="shared" si="2"/>
        <v>4.339451146839965</v>
      </c>
      <c r="G12" s="3">
        <f t="shared" si="3"/>
        <v>2.692253746470175</v>
      </c>
      <c r="H12" s="1">
        <v>469856</v>
      </c>
      <c r="I12" s="1">
        <f t="shared" si="7"/>
        <v>2671338</v>
      </c>
      <c r="J12" s="21">
        <f t="shared" si="1"/>
        <v>0.0575613813820068</v>
      </c>
      <c r="K12" s="1">
        <f t="shared" si="4"/>
        <v>14.169850340360414</v>
      </c>
      <c r="L12" s="3">
        <f t="shared" si="5"/>
        <v>1.870744894915221</v>
      </c>
    </row>
    <row r="13" spans="1:12" ht="12.75">
      <c r="A13" s="8" t="s">
        <v>10</v>
      </c>
      <c r="B13" s="9">
        <v>37.5</v>
      </c>
      <c r="C13" s="10">
        <v>704928</v>
      </c>
      <c r="D13" s="10">
        <f t="shared" si="6"/>
        <v>4216487</v>
      </c>
      <c r="E13" s="21">
        <f t="shared" si="0"/>
        <v>0.0877697483427877</v>
      </c>
      <c r="F13" s="17">
        <f t="shared" si="2"/>
        <v>0.43949290902104027</v>
      </c>
      <c r="G13" s="3">
        <f t="shared" si="3"/>
        <v>3.291365562854539</v>
      </c>
      <c r="H13" s="1">
        <v>486070</v>
      </c>
      <c r="I13" s="1">
        <f t="shared" si="7"/>
        <v>3157408</v>
      </c>
      <c r="J13" s="21">
        <f t="shared" si="1"/>
        <v>0.05954773515364717</v>
      </c>
      <c r="K13" s="1">
        <f t="shared" si="4"/>
        <v>6.804610843508583</v>
      </c>
      <c r="L13" s="3">
        <f t="shared" si="5"/>
        <v>2.233040068261769</v>
      </c>
    </row>
    <row r="14" spans="1:12" ht="12.75">
      <c r="A14" t="s">
        <v>11</v>
      </c>
      <c r="B14" s="2">
        <v>42.5</v>
      </c>
      <c r="C14" s="1">
        <v>627761</v>
      </c>
      <c r="D14" s="1">
        <f t="shared" si="6"/>
        <v>4844248</v>
      </c>
      <c r="E14" s="21">
        <f t="shared" si="0"/>
        <v>0.07816177679056123</v>
      </c>
      <c r="F14" s="17">
        <f t="shared" si="2"/>
        <v>0.5963942401877826</v>
      </c>
      <c r="G14" s="3">
        <f t="shared" si="3"/>
        <v>3.3218755135988527</v>
      </c>
      <c r="H14" s="1">
        <v>495166</v>
      </c>
      <c r="I14" s="1">
        <f t="shared" si="7"/>
        <v>3652574</v>
      </c>
      <c r="J14" s="21">
        <f t="shared" si="1"/>
        <v>0.060662073004075244</v>
      </c>
      <c r="K14" s="1">
        <f t="shared" si="4"/>
        <v>1.9638538047000915</v>
      </c>
      <c r="L14" s="3">
        <f t="shared" si="5"/>
        <v>2.578138102673198</v>
      </c>
    </row>
    <row r="15" spans="1:12" ht="12.75">
      <c r="A15" s="6" t="s">
        <v>12</v>
      </c>
      <c r="B15" s="7">
        <v>47.5</v>
      </c>
      <c r="C15" s="1">
        <v>526904</v>
      </c>
      <c r="D15" s="1">
        <f t="shared" si="6"/>
        <v>5371152</v>
      </c>
      <c r="E15" s="21">
        <f t="shared" si="0"/>
        <v>0.06560419146467186</v>
      </c>
      <c r="F15" s="17">
        <f t="shared" si="2"/>
        <v>3.9528604673201095</v>
      </c>
      <c r="G15" s="3">
        <f t="shared" si="3"/>
        <v>3.116199094571914</v>
      </c>
      <c r="H15" s="6">
        <v>504251</v>
      </c>
      <c r="I15" s="6">
        <f t="shared" si="7"/>
        <v>4156825</v>
      </c>
      <c r="J15" s="21">
        <f t="shared" si="1"/>
        <v>0.061775063260357026</v>
      </c>
      <c r="K15" s="1">
        <f t="shared" si="4"/>
        <v>0.029392890701572083</v>
      </c>
      <c r="L15" s="3">
        <f t="shared" si="5"/>
        <v>2.9343155048669587</v>
      </c>
    </row>
    <row r="16" spans="1:12" ht="12.75">
      <c r="A16" t="s">
        <v>13</v>
      </c>
      <c r="B16" s="2">
        <v>52.5</v>
      </c>
      <c r="C16" s="1">
        <v>507628</v>
      </c>
      <c r="D16" s="1">
        <f t="shared" si="6"/>
        <v>5878780</v>
      </c>
      <c r="E16" s="21">
        <f t="shared" si="0"/>
        <v>0.06320415959041581</v>
      </c>
      <c r="F16" s="17">
        <f t="shared" si="2"/>
        <v>10.294446043638201</v>
      </c>
      <c r="G16" s="3">
        <f t="shared" si="3"/>
        <v>3.31821837849683</v>
      </c>
      <c r="H16" s="1">
        <v>520331</v>
      </c>
      <c r="I16" s="1">
        <f t="shared" si="7"/>
        <v>4677156</v>
      </c>
      <c r="J16" s="21">
        <f t="shared" si="1"/>
        <v>0.06374500088512433</v>
      </c>
      <c r="K16" s="1">
        <f t="shared" si="4"/>
        <v>1.1842509503943481</v>
      </c>
      <c r="L16" s="3">
        <f t="shared" si="5"/>
        <v>3.3466125464690277</v>
      </c>
    </row>
    <row r="17" spans="1:12" ht="12.75">
      <c r="A17" t="s">
        <v>14</v>
      </c>
      <c r="B17" s="2">
        <v>57.5</v>
      </c>
      <c r="C17" s="1">
        <v>454153</v>
      </c>
      <c r="D17" s="1">
        <f t="shared" si="6"/>
        <v>6332933</v>
      </c>
      <c r="E17" s="21">
        <f t="shared" si="0"/>
        <v>0.05654605082947771</v>
      </c>
      <c r="F17" s="17">
        <f t="shared" si="2"/>
        <v>17.840222472892325</v>
      </c>
      <c r="G17" s="3">
        <f t="shared" si="3"/>
        <v>3.2513979226949683</v>
      </c>
      <c r="H17" s="1">
        <v>545320</v>
      </c>
      <c r="I17" s="1">
        <f t="shared" si="7"/>
        <v>5222476</v>
      </c>
      <c r="J17" s="21">
        <f t="shared" si="1"/>
        <v>0.06680636725983269</v>
      </c>
      <c r="K17" s="1">
        <f t="shared" si="4"/>
        <v>5.79078122886405</v>
      </c>
      <c r="L17" s="3">
        <f t="shared" si="5"/>
        <v>3.8413661174403795</v>
      </c>
    </row>
    <row r="18" spans="1:12" ht="12.75">
      <c r="A18" t="s">
        <v>15</v>
      </c>
      <c r="B18" s="2">
        <v>62.5</v>
      </c>
      <c r="C18" s="1">
        <v>456850</v>
      </c>
      <c r="D18" s="1">
        <f t="shared" si="6"/>
        <v>6789783</v>
      </c>
      <c r="E18" s="21">
        <f t="shared" si="0"/>
        <v>0.05688185109742067</v>
      </c>
      <c r="F18" s="17">
        <f t="shared" si="2"/>
        <v>29.471733607162175</v>
      </c>
      <c r="G18" s="3">
        <f t="shared" si="3"/>
        <v>3.5551156935887924</v>
      </c>
      <c r="H18" s="1">
        <v>532225</v>
      </c>
      <c r="I18" s="1">
        <f t="shared" si="7"/>
        <v>5754701</v>
      </c>
      <c r="J18" s="21">
        <f t="shared" si="1"/>
        <v>0.06520211768294662</v>
      </c>
      <c r="K18" s="1">
        <f t="shared" si="4"/>
        <v>13.352234197739037</v>
      </c>
      <c r="L18" s="3">
        <f t="shared" si="5"/>
        <v>4.075132355184164</v>
      </c>
    </row>
    <row r="19" spans="1:12" ht="12.75">
      <c r="A19" t="s">
        <v>16</v>
      </c>
      <c r="B19" s="2">
        <v>67.5</v>
      </c>
      <c r="C19" s="1">
        <v>332123</v>
      </c>
      <c r="D19" s="1">
        <f t="shared" si="6"/>
        <v>7121906</v>
      </c>
      <c r="E19" s="21">
        <f t="shared" si="0"/>
        <v>0.041352240411576334</v>
      </c>
      <c r="F19" s="17">
        <f t="shared" si="2"/>
        <v>31.87202550141846</v>
      </c>
      <c r="G19" s="3">
        <f t="shared" si="3"/>
        <v>2.7912762277814025</v>
      </c>
      <c r="H19" s="1">
        <v>518630</v>
      </c>
      <c r="I19" s="1">
        <f t="shared" si="7"/>
        <v>6273331</v>
      </c>
      <c r="J19" s="21">
        <f t="shared" si="1"/>
        <v>0.06353661382668346</v>
      </c>
      <c r="K19" s="1">
        <f t="shared" si="4"/>
        <v>23.691809202182846</v>
      </c>
      <c r="L19" s="3">
        <f t="shared" si="5"/>
        <v>4.288721433301134</v>
      </c>
    </row>
    <row r="20" spans="1:12" ht="12.75">
      <c r="A20" t="s">
        <v>17</v>
      </c>
      <c r="B20" s="2">
        <v>72.5</v>
      </c>
      <c r="C20" s="1">
        <v>326520</v>
      </c>
      <c r="D20" s="1">
        <f t="shared" si="6"/>
        <v>7448426</v>
      </c>
      <c r="E20" s="21">
        <f t="shared" si="0"/>
        <v>0.04065461753382905</v>
      </c>
      <c r="F20" s="17">
        <f t="shared" si="2"/>
        <v>43.63735514554477</v>
      </c>
      <c r="G20" s="3">
        <f t="shared" si="3"/>
        <v>2.9474597712026056</v>
      </c>
      <c r="H20" s="1">
        <v>470223</v>
      </c>
      <c r="I20" s="1">
        <f t="shared" si="7"/>
        <v>6743554</v>
      </c>
      <c r="J20" s="21">
        <f t="shared" si="1"/>
        <v>0.057606342023069586</v>
      </c>
      <c r="K20" s="1">
        <f t="shared" si="4"/>
        <v>34.044569944475256</v>
      </c>
      <c r="L20" s="3">
        <f t="shared" si="5"/>
        <v>4.176459796672545</v>
      </c>
    </row>
    <row r="21" spans="1:12" ht="12.75">
      <c r="A21" t="s">
        <v>18</v>
      </c>
      <c r="B21" s="2">
        <v>77.5</v>
      </c>
      <c r="C21" s="1">
        <v>289145</v>
      </c>
      <c r="D21" s="1">
        <f t="shared" si="6"/>
        <v>7737571</v>
      </c>
      <c r="E21" s="21">
        <f t="shared" si="0"/>
        <v>0.036001100657904565</v>
      </c>
      <c r="F21" s="17">
        <f t="shared" si="2"/>
        <v>51.33723329097685</v>
      </c>
      <c r="G21" s="3">
        <f t="shared" si="3"/>
        <v>2.790085300987604</v>
      </c>
      <c r="H21" s="1">
        <v>460303</v>
      </c>
      <c r="I21" s="1">
        <f t="shared" si="7"/>
        <v>7203857</v>
      </c>
      <c r="J21" s="21">
        <f t="shared" si="1"/>
        <v>0.056391057120228065</v>
      </c>
      <c r="K21" s="1">
        <f t="shared" si="4"/>
        <v>48.44491591810809</v>
      </c>
      <c r="L21" s="3">
        <f t="shared" si="5"/>
        <v>4.370306926817674</v>
      </c>
    </row>
    <row r="22" spans="1:12" ht="12.75">
      <c r="A22" t="s">
        <v>19</v>
      </c>
      <c r="B22" s="2">
        <v>82.5</v>
      </c>
      <c r="C22" s="1">
        <v>154107</v>
      </c>
      <c r="D22" s="1">
        <f t="shared" si="6"/>
        <v>7891678</v>
      </c>
      <c r="E22" s="21">
        <f t="shared" si="0"/>
        <v>0.01918767960396237</v>
      </c>
      <c r="F22" s="17">
        <f t="shared" si="2"/>
        <v>35.08685140011792</v>
      </c>
      <c r="G22" s="3">
        <f t="shared" si="3"/>
        <v>1.5829835673268955</v>
      </c>
      <c r="H22" s="1">
        <v>434888</v>
      </c>
      <c r="I22" s="1">
        <f t="shared" si="7"/>
        <v>7638745</v>
      </c>
      <c r="J22" s="21">
        <f t="shared" si="1"/>
        <v>0.05327750209949043</v>
      </c>
      <c r="K22" s="1">
        <f t="shared" si="4"/>
        <v>62.71778348950155</v>
      </c>
      <c r="L22" s="3">
        <f t="shared" si="5"/>
        <v>4.39539392320796</v>
      </c>
    </row>
    <row r="23" spans="1:12" ht="12.75">
      <c r="A23" t="s">
        <v>20</v>
      </c>
      <c r="B23" s="2">
        <v>87.5</v>
      </c>
      <c r="C23" s="1">
        <v>95050</v>
      </c>
      <c r="D23" s="1">
        <f t="shared" si="6"/>
        <v>7986728</v>
      </c>
      <c r="E23" s="21">
        <f t="shared" si="0"/>
        <v>0.011834562650344391</v>
      </c>
      <c r="F23" s="17">
        <f t="shared" si="2"/>
        <v>26.997436164536158</v>
      </c>
      <c r="G23" s="3">
        <f t="shared" si="3"/>
        <v>1.0355242319051343</v>
      </c>
      <c r="H23" s="1">
        <v>314270</v>
      </c>
      <c r="I23" s="1">
        <f t="shared" si="7"/>
        <v>7953015</v>
      </c>
      <c r="J23" s="21">
        <f t="shared" si="1"/>
        <v>0.03850076475967802</v>
      </c>
      <c r="K23" s="1">
        <f t="shared" si="4"/>
        <v>59.4949585390983</v>
      </c>
      <c r="L23" s="3">
        <f t="shared" si="5"/>
        <v>3.368816916471827</v>
      </c>
    </row>
    <row r="24" spans="1:12" ht="12.75">
      <c r="A24" t="s">
        <v>23</v>
      </c>
      <c r="B24" s="2">
        <v>92.5</v>
      </c>
      <c r="C24" s="1">
        <v>37768</v>
      </c>
      <c r="D24" s="1">
        <f t="shared" si="6"/>
        <v>8024496</v>
      </c>
      <c r="E24" s="21">
        <f t="shared" si="0"/>
        <v>0.0047024488393288474</v>
      </c>
      <c r="F24" s="17">
        <f t="shared" si="2"/>
        <v>13.090956429709674</v>
      </c>
      <c r="G24" s="3">
        <f t="shared" si="3"/>
        <v>0.4349765176379184</v>
      </c>
      <c r="H24" s="1">
        <v>154282</v>
      </c>
      <c r="I24" s="1">
        <f t="shared" si="7"/>
        <v>8107297</v>
      </c>
      <c r="J24" s="21">
        <f t="shared" si="1"/>
        <v>0.01890086546171332</v>
      </c>
      <c r="K24" s="1">
        <f t="shared" si="4"/>
        <v>37.10986550143624</v>
      </c>
      <c r="L24" s="3">
        <f t="shared" si="5"/>
        <v>1.748330055208482</v>
      </c>
    </row>
    <row r="25" spans="1:12" ht="12.75">
      <c r="A25" t="s">
        <v>24</v>
      </c>
      <c r="B25" s="2">
        <v>97.5</v>
      </c>
      <c r="C25" s="1">
        <v>7064</v>
      </c>
      <c r="D25" s="1">
        <f t="shared" si="6"/>
        <v>8031560</v>
      </c>
      <c r="E25" s="21">
        <f t="shared" si="0"/>
        <v>0.000879530253151318</v>
      </c>
      <c r="F25" s="17">
        <f t="shared" si="2"/>
        <v>2.9345371399714355</v>
      </c>
      <c r="G25" s="3">
        <f t="shared" si="3"/>
        <v>0.0857541996822535</v>
      </c>
      <c r="H25" s="1">
        <v>55398</v>
      </c>
      <c r="I25" s="1">
        <f t="shared" si="7"/>
        <v>8162695</v>
      </c>
      <c r="J25" s="21">
        <f t="shared" si="1"/>
        <v>0.006786729137864394</v>
      </c>
      <c r="K25" s="1">
        <f t="shared" si="4"/>
        <v>16.50191274208509</v>
      </c>
      <c r="L25" s="3">
        <f t="shared" si="5"/>
        <v>0.6617060909417785</v>
      </c>
    </row>
    <row r="26" spans="3:12" ht="12.75">
      <c r="C26" s="1">
        <f>SUM(C6:C25)</f>
        <v>8031560</v>
      </c>
      <c r="E26" s="1">
        <f>SUM(E6:E25)</f>
        <v>1</v>
      </c>
      <c r="F26" s="1">
        <f>SUM(F6:F25)</f>
        <v>504.2195419174025</v>
      </c>
      <c r="G26" s="3">
        <f>SUM(G6:G25)</f>
        <v>39.73770849000694</v>
      </c>
      <c r="H26" s="1">
        <f>SUM(H6:H25)</f>
        <v>8162695</v>
      </c>
      <c r="I26" s="1"/>
      <c r="J26" s="1">
        <f>SUM(J6:J25)</f>
        <v>0.9999999999999999</v>
      </c>
      <c r="K26" s="1">
        <f>SUM(K6:K25)</f>
        <v>625.603568798865</v>
      </c>
      <c r="L26" s="3">
        <f>SUM(L6:L25)</f>
        <v>48.189786277693834</v>
      </c>
    </row>
    <row r="27" ht="12.75">
      <c r="K27" s="1"/>
    </row>
    <row r="28" spans="1:12" ht="12.75">
      <c r="A28" s="4" t="s">
        <v>2</v>
      </c>
      <c r="B28" s="4"/>
      <c r="C28" s="4"/>
      <c r="G28" s="5">
        <f>SUM(G6:G25)</f>
        <v>39.73770849000694</v>
      </c>
      <c r="H28" s="4"/>
      <c r="I28" s="4"/>
      <c r="J28" s="4"/>
      <c r="K28" s="1"/>
      <c r="L28" s="5">
        <f>SUM(L6:L25)</f>
        <v>48.189786277693834</v>
      </c>
    </row>
    <row r="29" spans="1:12" ht="12.75">
      <c r="A29" s="4" t="s">
        <v>1</v>
      </c>
      <c r="G29" s="11">
        <f>35+(C26/2-D12)/C13*5</f>
        <v>38.576400710427166</v>
      </c>
      <c r="K29" s="1"/>
      <c r="L29" s="12">
        <f>45+(H26/2-I14)/H15*5</f>
        <v>49.25158799883391</v>
      </c>
    </row>
    <row r="30" spans="1:12" ht="12.75">
      <c r="A30" s="14" t="s">
        <v>4</v>
      </c>
      <c r="B30" s="14"/>
      <c r="C30" s="14"/>
      <c r="D30" s="14"/>
      <c r="F30" s="14"/>
      <c r="G30" s="16">
        <f>F26^0.5</f>
        <v>22.454833375409457</v>
      </c>
      <c r="H30" s="16"/>
      <c r="I30" s="16"/>
      <c r="J30" s="16"/>
      <c r="K30" s="16"/>
      <c r="L30" s="16">
        <f>K26^0.5</f>
        <v>25.012068463021308</v>
      </c>
    </row>
  </sheetData>
  <mergeCells count="1">
    <mergeCell ref="A1:L3"/>
  </mergeCells>
  <printOptions/>
  <pageMargins left="0.44" right="0.42" top="0.69" bottom="0.68" header="0.33" footer="0.46"/>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29"/>
  <sheetViews>
    <sheetView tabSelected="1" workbookViewId="0" topLeftCell="A1">
      <selection activeCell="E23" sqref="E23"/>
    </sheetView>
  </sheetViews>
  <sheetFormatPr defaultColWidth="11.421875" defaultRowHeight="12.75"/>
  <cols>
    <col min="1" max="1" width="15.00390625" style="0" customWidth="1"/>
    <col min="2" max="2" width="17.57421875" style="0" customWidth="1"/>
    <col min="3" max="3" width="6.140625" style="0" customWidth="1"/>
    <col min="4" max="4" width="7.8515625" style="0" customWidth="1"/>
    <col min="5" max="5" width="8.421875" style="0" customWidth="1"/>
    <col min="6" max="6" width="11.57421875" style="0" bestFit="1" customWidth="1"/>
  </cols>
  <sheetData>
    <row r="1" spans="1:5" ht="12.75">
      <c r="A1" s="42" t="s">
        <v>25</v>
      </c>
      <c r="B1" s="42"/>
      <c r="C1" s="42"/>
      <c r="D1" s="42"/>
      <c r="E1" s="42"/>
    </row>
    <row r="2" spans="1:5" ht="12.75">
      <c r="A2" s="42"/>
      <c r="B2" s="42"/>
      <c r="C2" s="42"/>
      <c r="D2" s="42"/>
      <c r="E2" s="42"/>
    </row>
    <row r="3" spans="1:5" ht="12.75">
      <c r="A3" s="42"/>
      <c r="B3" s="42"/>
      <c r="C3" s="42"/>
      <c r="D3" s="42"/>
      <c r="E3" s="42"/>
    </row>
    <row r="4" spans="1:5" ht="12.75">
      <c r="A4" s="42"/>
      <c r="B4" s="42"/>
      <c r="C4" s="42"/>
      <c r="D4" s="42"/>
      <c r="E4" s="42"/>
    </row>
    <row r="5" spans="1:5" ht="12.75">
      <c r="A5" s="42"/>
      <c r="B5" s="42"/>
      <c r="C5" s="42"/>
      <c r="D5" s="42"/>
      <c r="E5" s="42"/>
    </row>
    <row r="6" spans="1:5" ht="12.75">
      <c r="A6" s="42"/>
      <c r="B6" s="42"/>
      <c r="C6" s="42"/>
      <c r="D6" s="42"/>
      <c r="E6" s="42"/>
    </row>
    <row r="7" spans="1:5" ht="12.75">
      <c r="A7" s="42"/>
      <c r="B7" s="42"/>
      <c r="C7" s="42"/>
      <c r="D7" s="42"/>
      <c r="E7" s="42"/>
    </row>
    <row r="9" spans="1:4" ht="12.75">
      <c r="A9" s="23" t="s">
        <v>26</v>
      </c>
      <c r="B9" s="23" t="s">
        <v>27</v>
      </c>
      <c r="D9" t="s">
        <v>28</v>
      </c>
    </row>
    <row r="10" spans="1:8" ht="12.75">
      <c r="A10" s="2">
        <v>0</v>
      </c>
      <c r="B10" s="2">
        <v>360</v>
      </c>
      <c r="C10">
        <f>B10</f>
        <v>360</v>
      </c>
      <c r="D10" s="21">
        <f aca="true" t="shared" si="0" ref="D10:D18">B10/$B$19</f>
        <v>0.36</v>
      </c>
      <c r="E10" s="17">
        <f aca="true" t="shared" si="1" ref="E10:E18">D10*A10</f>
        <v>0</v>
      </c>
      <c r="F10" s="38">
        <f>($E$22-A10)^2*B10/$B$19</f>
        <v>0.3797024399999999</v>
      </c>
      <c r="G10" s="38">
        <f>($E$19-A10)^2</f>
        <v>1.0547289999999998</v>
      </c>
      <c r="H10" s="38">
        <f>G10*B10/$B$19</f>
        <v>0.3797024399999999</v>
      </c>
    </row>
    <row r="11" spans="1:8" ht="12.75">
      <c r="A11" s="2">
        <v>1</v>
      </c>
      <c r="B11" s="2">
        <v>372</v>
      </c>
      <c r="C11">
        <f>C10+B11</f>
        <v>732</v>
      </c>
      <c r="D11" s="21">
        <f t="shared" si="0"/>
        <v>0.372</v>
      </c>
      <c r="E11" s="17">
        <f t="shared" si="1"/>
        <v>0.372</v>
      </c>
      <c r="F11" s="38">
        <f aca="true" t="shared" si="2" ref="F11:F18">($E$22-A11)^2*B11/$B$19</f>
        <v>0.00027118799999999827</v>
      </c>
      <c r="G11" s="38">
        <f aca="true" t="shared" si="3" ref="G11:G18">($E$19-A11)^2</f>
        <v>0.0007289999999999953</v>
      </c>
      <c r="H11" s="38">
        <f aca="true" t="shared" si="4" ref="H11:H18">G11*B11/$B$19</f>
        <v>0.00027118799999999827</v>
      </c>
    </row>
    <row r="12" spans="1:8" ht="12.75">
      <c r="A12" s="2">
        <v>2</v>
      </c>
      <c r="B12" s="2">
        <v>185</v>
      </c>
      <c r="C12">
        <f aca="true" t="shared" si="5" ref="C12:C18">C11+B12</f>
        <v>917</v>
      </c>
      <c r="D12" s="21">
        <f t="shared" si="0"/>
        <v>0.185</v>
      </c>
      <c r="E12" s="17">
        <f t="shared" si="1"/>
        <v>0.37</v>
      </c>
      <c r="F12" s="38">
        <f t="shared" si="2"/>
        <v>0.17514486500000004</v>
      </c>
      <c r="G12" s="38">
        <f t="shared" si="3"/>
        <v>0.9467290000000002</v>
      </c>
      <c r="H12" s="38">
        <f t="shared" si="4"/>
        <v>0.17514486500000004</v>
      </c>
    </row>
    <row r="13" spans="1:8" ht="12.75">
      <c r="A13" s="2">
        <v>3</v>
      </c>
      <c r="B13" s="2">
        <v>59</v>
      </c>
      <c r="C13">
        <f t="shared" si="5"/>
        <v>976</v>
      </c>
      <c r="D13" s="21">
        <f t="shared" si="0"/>
        <v>0.059</v>
      </c>
      <c r="E13" s="17">
        <f t="shared" si="1"/>
        <v>0.177</v>
      </c>
      <c r="F13" s="38">
        <f t="shared" si="2"/>
        <v>0.229671011</v>
      </c>
      <c r="G13" s="38">
        <f t="shared" si="3"/>
        <v>3.8927290000000005</v>
      </c>
      <c r="H13" s="38">
        <f t="shared" si="4"/>
        <v>0.229671011</v>
      </c>
    </row>
    <row r="14" spans="1:8" ht="12.75">
      <c r="A14" s="2">
        <v>4</v>
      </c>
      <c r="B14" s="2">
        <v>15</v>
      </c>
      <c r="C14">
        <f t="shared" si="5"/>
        <v>991</v>
      </c>
      <c r="D14" s="21">
        <f t="shared" si="0"/>
        <v>0.015</v>
      </c>
      <c r="E14" s="17">
        <f t="shared" si="1"/>
        <v>0.06</v>
      </c>
      <c r="F14" s="38">
        <f t="shared" si="2"/>
        <v>0.13258093499999998</v>
      </c>
      <c r="G14" s="38">
        <f t="shared" si="3"/>
        <v>8.838728999999999</v>
      </c>
      <c r="H14" s="38">
        <f t="shared" si="4"/>
        <v>0.13258093499999998</v>
      </c>
    </row>
    <row r="15" spans="1:8" ht="12.75">
      <c r="A15" s="2">
        <v>5</v>
      </c>
      <c r="B15" s="2">
        <v>7</v>
      </c>
      <c r="C15">
        <f t="shared" si="5"/>
        <v>998</v>
      </c>
      <c r="D15" s="21">
        <f t="shared" si="0"/>
        <v>0.007</v>
      </c>
      <c r="E15" s="17">
        <f t="shared" si="1"/>
        <v>0.035</v>
      </c>
      <c r="F15" s="38">
        <f t="shared" si="2"/>
        <v>0.110493103</v>
      </c>
      <c r="G15" s="38">
        <f t="shared" si="3"/>
        <v>15.784728999999999</v>
      </c>
      <c r="H15" s="38">
        <f t="shared" si="4"/>
        <v>0.110493103</v>
      </c>
    </row>
    <row r="16" spans="1:8" ht="12.75">
      <c r="A16" s="2">
        <v>6</v>
      </c>
      <c r="B16" s="2">
        <v>1</v>
      </c>
      <c r="C16">
        <f t="shared" si="5"/>
        <v>999</v>
      </c>
      <c r="D16" s="21">
        <f t="shared" si="0"/>
        <v>0.001</v>
      </c>
      <c r="E16" s="17">
        <f t="shared" si="1"/>
        <v>0.006</v>
      </c>
      <c r="F16" s="38">
        <f t="shared" si="2"/>
        <v>0.024730729</v>
      </c>
      <c r="G16" s="38">
        <f t="shared" si="3"/>
        <v>24.730729</v>
      </c>
      <c r="H16" s="38">
        <f t="shared" si="4"/>
        <v>0.024730729</v>
      </c>
    </row>
    <row r="17" spans="1:8" ht="12.75">
      <c r="A17" s="2">
        <v>7</v>
      </c>
      <c r="B17" s="2">
        <v>1</v>
      </c>
      <c r="C17">
        <f t="shared" si="5"/>
        <v>1000</v>
      </c>
      <c r="D17" s="21">
        <f t="shared" si="0"/>
        <v>0.001</v>
      </c>
      <c r="E17" s="17">
        <f t="shared" si="1"/>
        <v>0.007</v>
      </c>
      <c r="F17" s="38">
        <f t="shared" si="2"/>
        <v>0.035676729000000004</v>
      </c>
      <c r="G17" s="38">
        <f t="shared" si="3"/>
        <v>35.676729</v>
      </c>
      <c r="H17" s="38">
        <f t="shared" si="4"/>
        <v>0.035676729000000004</v>
      </c>
    </row>
    <row r="18" spans="1:8" ht="12.75">
      <c r="A18" s="2">
        <v>8</v>
      </c>
      <c r="B18" s="2">
        <v>0</v>
      </c>
      <c r="C18">
        <f t="shared" si="5"/>
        <v>1000</v>
      </c>
      <c r="D18" s="21">
        <f t="shared" si="0"/>
        <v>0</v>
      </c>
      <c r="E18">
        <f t="shared" si="1"/>
        <v>0</v>
      </c>
      <c r="F18" s="38">
        <f t="shared" si="2"/>
        <v>0</v>
      </c>
      <c r="G18" s="38">
        <f t="shared" si="3"/>
        <v>48.622729</v>
      </c>
      <c r="H18" s="38">
        <f t="shared" si="4"/>
        <v>0</v>
      </c>
    </row>
    <row r="19" spans="1:8" ht="12.75">
      <c r="A19" s="2"/>
      <c r="B19" s="2">
        <v>1000</v>
      </c>
      <c r="D19">
        <f>SUM(D10:D18)</f>
        <v>1</v>
      </c>
      <c r="E19">
        <f>SUM(E10:E18)</f>
        <v>1.027</v>
      </c>
      <c r="F19" s="38">
        <f>SUM(F10:F18)</f>
        <v>1.088271</v>
      </c>
      <c r="G19" s="38"/>
      <c r="H19" s="38">
        <f>SUM(H10:H18)</f>
        <v>1.088271</v>
      </c>
    </row>
    <row r="22" spans="1:5" ht="12.75">
      <c r="A22" t="s">
        <v>2</v>
      </c>
      <c r="E22" s="4">
        <f>E19</f>
        <v>1.027</v>
      </c>
    </row>
    <row r="23" spans="1:5" ht="12.75">
      <c r="A23" t="s">
        <v>1</v>
      </c>
      <c r="E23" s="36">
        <v>1</v>
      </c>
    </row>
    <row r="24" spans="1:5" ht="12.75">
      <c r="A24" t="s">
        <v>29</v>
      </c>
      <c r="E24" s="24">
        <f>F19^0.5</f>
        <v>1.043202281439223</v>
      </c>
    </row>
    <row r="29" ht="12.75">
      <c r="H29" t="s">
        <v>30</v>
      </c>
    </row>
  </sheetData>
  <mergeCells count="1">
    <mergeCell ref="A1:E7"/>
  </mergeCells>
  <printOptions/>
  <pageMargins left="0.75" right="0.39" top="1" bottom="0.71" header="0.4921259845" footer="0.492125984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35"/>
  <sheetViews>
    <sheetView workbookViewId="0" topLeftCell="A1">
      <selection activeCell="F9" sqref="F9"/>
    </sheetView>
  </sheetViews>
  <sheetFormatPr defaultColWidth="11.421875" defaultRowHeight="12.75"/>
  <cols>
    <col min="1" max="3" width="9.140625" style="0" customWidth="1"/>
    <col min="4" max="4" width="10.8515625" style="0" customWidth="1"/>
    <col min="5" max="5" width="11.57421875" style="0" customWidth="1"/>
    <col min="6" max="6" width="11.28125" style="0" customWidth="1"/>
    <col min="7" max="7" width="13.7109375" style="0" customWidth="1"/>
    <col min="8" max="16384" width="9.140625" style="0" customWidth="1"/>
  </cols>
  <sheetData>
    <row r="1" ht="21">
      <c r="A1" s="30" t="s">
        <v>59</v>
      </c>
    </row>
    <row r="2" spans="5:6" ht="12.75">
      <c r="E2" s="2" t="s">
        <v>51</v>
      </c>
      <c r="F2" s="2" t="s">
        <v>52</v>
      </c>
    </row>
    <row r="3" spans="1:6" ht="12.75">
      <c r="A3" t="s">
        <v>45</v>
      </c>
      <c r="B3" t="s">
        <v>46</v>
      </c>
      <c r="D3" t="s">
        <v>48</v>
      </c>
      <c r="E3" s="31">
        <f>QUARTILE(A4:A15,3)</f>
        <v>40.5</v>
      </c>
      <c r="F3" s="31">
        <f>QUARTILE(B4:B15,3)</f>
        <v>244.75</v>
      </c>
    </row>
    <row r="4" spans="1:6" ht="12.75">
      <c r="A4">
        <v>33</v>
      </c>
      <c r="B4">
        <v>180</v>
      </c>
      <c r="D4" t="s">
        <v>47</v>
      </c>
      <c r="E4" s="31">
        <f>QUARTILE(A4:A15,0)</f>
        <v>19</v>
      </c>
      <c r="F4" s="31">
        <f>QUARTILE(B4:B15,0)</f>
        <v>75</v>
      </c>
    </row>
    <row r="5" spans="1:6" ht="12.75">
      <c r="A5">
        <v>26</v>
      </c>
      <c r="B5">
        <v>269</v>
      </c>
      <c r="D5" t="s">
        <v>49</v>
      </c>
      <c r="E5" s="31">
        <f>QUARTILE(A4:A15,4)</f>
        <v>92</v>
      </c>
      <c r="F5" s="31">
        <f>QUARTILE(B4:B15,4)</f>
        <v>634</v>
      </c>
    </row>
    <row r="6" spans="1:6" ht="12.75">
      <c r="A6">
        <v>35</v>
      </c>
      <c r="B6">
        <v>634</v>
      </c>
      <c r="D6" t="s">
        <v>50</v>
      </c>
      <c r="E6" s="31">
        <f>QUARTILE(A4:A15,1)</f>
        <v>28.25</v>
      </c>
      <c r="F6" s="31">
        <f>QUARTILE(B4:B15,1)</f>
        <v>155.75</v>
      </c>
    </row>
    <row r="7" spans="1:6" ht="12.75">
      <c r="A7">
        <v>44</v>
      </c>
      <c r="B7">
        <v>215</v>
      </c>
      <c r="D7" t="s">
        <v>54</v>
      </c>
      <c r="E7" s="31">
        <f>QUARTILE(A4:A15,2)</f>
        <v>32.5</v>
      </c>
      <c r="F7" s="31">
        <f>QUARTILE(B4:B15,2)</f>
        <v>208</v>
      </c>
    </row>
    <row r="8" spans="1:6" ht="12.75">
      <c r="A8">
        <v>19</v>
      </c>
      <c r="B8">
        <v>79</v>
      </c>
      <c r="D8" t="s">
        <v>55</v>
      </c>
      <c r="E8" s="31">
        <f>(E3-E6)</f>
        <v>12.25</v>
      </c>
      <c r="F8" s="31">
        <v>89</v>
      </c>
    </row>
    <row r="9" spans="1:6" ht="12.75">
      <c r="A9">
        <v>40</v>
      </c>
      <c r="B9">
        <v>227</v>
      </c>
      <c r="D9" t="s">
        <v>57</v>
      </c>
      <c r="E9" s="31">
        <f>MIN(A4:A15)</f>
        <v>19</v>
      </c>
      <c r="F9" s="31">
        <f>MIN(B4:B15)</f>
        <v>75</v>
      </c>
    </row>
    <row r="10" spans="1:7" ht="12.75">
      <c r="A10">
        <v>24</v>
      </c>
      <c r="B10">
        <v>201</v>
      </c>
      <c r="D10" t="s">
        <v>56</v>
      </c>
      <c r="E10" s="31">
        <f>MAX(A4:A15)</f>
        <v>92</v>
      </c>
      <c r="F10" s="31">
        <f>MAX(B4:B15)</f>
        <v>634</v>
      </c>
      <c r="G10" s="31"/>
    </row>
    <row r="11" spans="1:6" ht="12.75">
      <c r="A11">
        <v>30</v>
      </c>
      <c r="B11">
        <v>238</v>
      </c>
      <c r="E11" s="31"/>
      <c r="F11" s="31"/>
    </row>
    <row r="12" spans="1:6" ht="12.75">
      <c r="A12">
        <v>29</v>
      </c>
      <c r="B12">
        <v>107</v>
      </c>
      <c r="D12" t="s">
        <v>53</v>
      </c>
      <c r="E12" s="31">
        <f>MIN(E10,E3+E8*1.5)</f>
        <v>58.875</v>
      </c>
      <c r="F12" s="31">
        <f>MIN(F10,F3+F8*1.5)</f>
        <v>378.25</v>
      </c>
    </row>
    <row r="13" spans="1:6" ht="12.75">
      <c r="A13">
        <v>92</v>
      </c>
      <c r="B13">
        <v>265</v>
      </c>
      <c r="D13" t="s">
        <v>58</v>
      </c>
      <c r="E13" s="31">
        <f>MAX(E9,E6-1.5*E8)</f>
        <v>19</v>
      </c>
      <c r="F13" s="31">
        <f>MAX(F9,F6-1.5*F8)</f>
        <v>75</v>
      </c>
    </row>
    <row r="14" spans="1:2" ht="12.75">
      <c r="A14">
        <v>32</v>
      </c>
      <c r="B14">
        <v>75</v>
      </c>
    </row>
    <row r="15" spans="1:2" ht="13.5" thickBot="1">
      <c r="A15" s="32">
        <v>42</v>
      </c>
      <c r="B15" s="32">
        <v>172</v>
      </c>
    </row>
    <row r="16" ht="12.75">
      <c r="D16" s="31"/>
    </row>
    <row r="17" ht="12.75">
      <c r="D17" s="31"/>
    </row>
    <row r="18" spans="1:4" ht="12.75">
      <c r="A18" s="33"/>
      <c r="B18" s="34"/>
      <c r="D18" s="31"/>
    </row>
    <row r="19" spans="1:4" ht="12.75">
      <c r="A19" s="33"/>
      <c r="B19" s="34"/>
      <c r="D19" s="31"/>
    </row>
    <row r="20" ht="12.75">
      <c r="D20" s="31"/>
    </row>
    <row r="35" ht="12.75">
      <c r="A35" s="35"/>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29"/>
  <sheetViews>
    <sheetView workbookViewId="0" topLeftCell="A5">
      <selection activeCell="F28" sqref="F28"/>
    </sheetView>
  </sheetViews>
  <sheetFormatPr defaultColWidth="11.421875" defaultRowHeight="12.75"/>
  <cols>
    <col min="2" max="3" width="11.57421875" style="0" bestFit="1" customWidth="1"/>
    <col min="4" max="4" width="10.28125" style="0" customWidth="1"/>
    <col min="5" max="5" width="12.00390625" style="0" bestFit="1" customWidth="1"/>
    <col min="6" max="6" width="10.28125" style="0" customWidth="1"/>
    <col min="7" max="7" width="7.140625" style="2" customWidth="1"/>
    <col min="8" max="8" width="11.421875" style="2" customWidth="1"/>
    <col min="9" max="9" width="8.7109375" style="0" customWidth="1"/>
  </cols>
  <sheetData>
    <row r="1" spans="1:6" ht="12.75">
      <c r="A1" s="42" t="s">
        <v>61</v>
      </c>
      <c r="B1" s="42"/>
      <c r="C1" s="42"/>
      <c r="D1" s="42"/>
      <c r="E1" s="42"/>
      <c r="F1" s="42"/>
    </row>
    <row r="2" spans="1:6" ht="12.75">
      <c r="A2" s="42"/>
      <c r="B2" s="42"/>
      <c r="C2" s="42"/>
      <c r="D2" s="42"/>
      <c r="E2" s="42"/>
      <c r="F2" s="42"/>
    </row>
    <row r="3" spans="1:6" ht="156" customHeight="1">
      <c r="A3" s="42"/>
      <c r="B3" s="42"/>
      <c r="C3" s="42"/>
      <c r="D3" s="42"/>
      <c r="E3" s="42"/>
      <c r="F3" s="42"/>
    </row>
    <row r="4" spans="2:9" s="39" customFormat="1" ht="39.75" customHeight="1">
      <c r="B4" s="40"/>
      <c r="C4" s="41" t="s">
        <v>34</v>
      </c>
      <c r="D4" s="41" t="s">
        <v>33</v>
      </c>
      <c r="E4" s="41" t="s">
        <v>69</v>
      </c>
      <c r="F4" s="41" t="s">
        <v>64</v>
      </c>
      <c r="G4" s="41" t="s">
        <v>62</v>
      </c>
      <c r="H4" s="41" t="s">
        <v>63</v>
      </c>
      <c r="I4" s="41" t="s">
        <v>70</v>
      </c>
    </row>
    <row r="5" spans="1:8" s="4" customFormat="1" ht="12.75" customHeight="1">
      <c r="A5" s="4" t="s">
        <v>35</v>
      </c>
      <c r="B5" s="25">
        <v>0</v>
      </c>
      <c r="C5" s="18"/>
      <c r="D5" s="18">
        <v>0</v>
      </c>
      <c r="E5" s="18"/>
      <c r="G5" s="26"/>
      <c r="H5" s="23"/>
    </row>
    <row r="6" spans="2:5" ht="12.75">
      <c r="B6">
        <v>10</v>
      </c>
      <c r="C6" s="1">
        <v>1636</v>
      </c>
      <c r="D6" s="1">
        <v>2289</v>
      </c>
      <c r="E6" s="28">
        <f>(D6+D5)/2*($D$18/100)*(B6-B5)</f>
        <v>404736173.1</v>
      </c>
    </row>
    <row r="7" spans="2:9" ht="12.75">
      <c r="B7">
        <v>20</v>
      </c>
      <c r="C7" s="1">
        <v>4148</v>
      </c>
      <c r="D7" s="1">
        <v>6219</v>
      </c>
      <c r="E7">
        <f>(D7+D6)/2*($D$18/100)*(B7-B6)</f>
        <v>1504366693.1999998</v>
      </c>
      <c r="F7">
        <v>5000</v>
      </c>
      <c r="G7" s="37">
        <f>B6+(B7-B6)/(D7-D6)*(F7-D6)</f>
        <v>16.89821882951654</v>
      </c>
      <c r="H7" s="2" t="s">
        <v>38</v>
      </c>
      <c r="I7" s="3">
        <f>G7</f>
        <v>16.89821882951654</v>
      </c>
    </row>
    <row r="8" spans="2:9" ht="12.75">
      <c r="B8">
        <v>25</v>
      </c>
      <c r="C8" s="1">
        <v>5753</v>
      </c>
      <c r="D8" s="1">
        <v>8298</v>
      </c>
      <c r="E8">
        <f>(D8+D7)/2*($D$18/100)*(B8-B7)</f>
        <v>1283432727.15</v>
      </c>
      <c r="G8" s="37"/>
      <c r="H8" s="2" t="s">
        <v>39</v>
      </c>
      <c r="I8" s="3">
        <f>G9-G7</f>
        <v>12.721759454956857</v>
      </c>
    </row>
    <row r="9" spans="2:9" ht="12.75">
      <c r="B9">
        <v>30</v>
      </c>
      <c r="C9" s="1">
        <v>7223</v>
      </c>
      <c r="D9" s="1">
        <v>10140</v>
      </c>
      <c r="E9">
        <f aca="true" t="shared" si="0" ref="E9:E16">(D9+D8)/2*($D$18/100)*(B9-B8)</f>
        <v>1630084220.1000001</v>
      </c>
      <c r="F9">
        <v>10000</v>
      </c>
      <c r="G9" s="37">
        <f>B8+(B9-B8)/(D9-D8)*(F9-D8)</f>
        <v>29.619978284473397</v>
      </c>
      <c r="H9" s="2" t="s">
        <v>40</v>
      </c>
      <c r="I9" s="3">
        <f>G11-G9</f>
        <v>18.156408866131528</v>
      </c>
    </row>
    <row r="10" spans="2:9" ht="12.75">
      <c r="B10">
        <v>40</v>
      </c>
      <c r="C10" s="1">
        <v>9817</v>
      </c>
      <c r="D10" s="1">
        <v>13136</v>
      </c>
      <c r="E10">
        <f t="shared" si="0"/>
        <v>4115613440.4</v>
      </c>
      <c r="G10" s="37"/>
      <c r="H10" s="2" t="s">
        <v>41</v>
      </c>
      <c r="I10" s="3">
        <f>G13-G11</f>
        <v>21.40671144094437</v>
      </c>
    </row>
    <row r="11" spans="1:9" ht="12.75">
      <c r="A11" s="14" t="s">
        <v>1</v>
      </c>
      <c r="B11" s="14">
        <v>50</v>
      </c>
      <c r="C11" s="15">
        <v>11964</v>
      </c>
      <c r="D11" s="15">
        <v>15533</v>
      </c>
      <c r="E11" s="14">
        <f>(D11+D10)/2*($D$18/100)*(B11-B10)</f>
        <v>5069192375.1</v>
      </c>
      <c r="F11">
        <v>15000</v>
      </c>
      <c r="G11" s="37">
        <f>B10+(B11-B10)/(D11-D10)*(F11-D10)</f>
        <v>47.776387150604926</v>
      </c>
      <c r="H11" s="2" t="s">
        <v>42</v>
      </c>
      <c r="I11" s="3">
        <f>G16-G13</f>
        <v>13.170234741784043</v>
      </c>
    </row>
    <row r="12" spans="2:9" ht="12.75">
      <c r="B12">
        <v>60</v>
      </c>
      <c r="C12" s="1">
        <v>14049</v>
      </c>
      <c r="D12" s="1">
        <v>17718</v>
      </c>
      <c r="E12">
        <f t="shared" si="0"/>
        <v>5879371992.900001</v>
      </c>
      <c r="G12" s="37"/>
      <c r="H12" s="2" t="s">
        <v>43</v>
      </c>
      <c r="I12" s="3">
        <f>G17-G16</f>
        <v>8.333333333333329</v>
      </c>
    </row>
    <row r="13" spans="2:9" ht="12.75">
      <c r="B13">
        <v>70</v>
      </c>
      <c r="C13" s="1">
        <v>16252</v>
      </c>
      <c r="D13" s="1">
        <v>20203</v>
      </c>
      <c r="E13">
        <f t="shared" si="0"/>
        <v>6705111585.900001</v>
      </c>
      <c r="F13">
        <v>20000</v>
      </c>
      <c r="G13" s="37">
        <f>B12+(B13-B12)/(D13-D12)*(F13-D12)</f>
        <v>69.1830985915493</v>
      </c>
      <c r="H13" s="2" t="s">
        <v>44</v>
      </c>
      <c r="I13" s="3">
        <f>100-SUM(I7:I12)</f>
        <v>9.313333333333333</v>
      </c>
    </row>
    <row r="14" spans="2:7" ht="12.75">
      <c r="B14">
        <v>75</v>
      </c>
      <c r="C14" s="1">
        <v>17605</v>
      </c>
      <c r="D14" s="1">
        <v>21741</v>
      </c>
      <c r="E14">
        <f>(D14+D13)/2*($D$18/100)*(B14-B13)</f>
        <v>3708224998.8</v>
      </c>
      <c r="G14" s="37"/>
    </row>
    <row r="15" spans="2:7" ht="12.75">
      <c r="B15">
        <v>80</v>
      </c>
      <c r="C15" s="1">
        <v>19188</v>
      </c>
      <c r="D15" s="1">
        <v>23588</v>
      </c>
      <c r="E15">
        <f t="shared" si="0"/>
        <v>4007489294.55</v>
      </c>
      <c r="G15" s="37"/>
    </row>
    <row r="16" spans="2:7" ht="12.75">
      <c r="B16">
        <v>90</v>
      </c>
      <c r="C16" s="1">
        <v>23806</v>
      </c>
      <c r="D16" s="1">
        <v>29588</v>
      </c>
      <c r="E16">
        <f t="shared" si="0"/>
        <v>9402468650.400002</v>
      </c>
      <c r="F16">
        <v>25000</v>
      </c>
      <c r="G16" s="37">
        <f>B15+(B16-B15)/(D16-D15)*(F16-D15)</f>
        <v>82.35333333333334</v>
      </c>
    </row>
    <row r="17" spans="2:7" ht="12.75">
      <c r="B17" s="4" t="s">
        <v>31</v>
      </c>
      <c r="C17" s="13">
        <v>12756</v>
      </c>
      <c r="D17" s="13">
        <v>16764</v>
      </c>
      <c r="F17">
        <v>30000</v>
      </c>
      <c r="G17" s="37">
        <f>B15+(B16-B15)/(D16-D15)*(F17-D15)</f>
        <v>90.68666666666667</v>
      </c>
    </row>
    <row r="18" spans="2:4" ht="12.75">
      <c r="B18" t="s">
        <v>32</v>
      </c>
      <c r="C18" s="1">
        <v>1610022</v>
      </c>
      <c r="D18" s="1">
        <v>3536358</v>
      </c>
    </row>
    <row r="19" ht="12.75"/>
    <row r="20" spans="1:5" ht="12.75" customHeight="1">
      <c r="A20" s="42" t="s">
        <v>37</v>
      </c>
      <c r="B20" s="42"/>
      <c r="C20" s="42"/>
      <c r="D20" s="42"/>
      <c r="E20" s="36">
        <f>SUM(E6:E16)</f>
        <v>43710092151.600006</v>
      </c>
    </row>
    <row r="21" spans="1:5" ht="12.75">
      <c r="A21" s="42" t="s">
        <v>36</v>
      </c>
      <c r="B21" s="42"/>
      <c r="C21" s="42"/>
      <c r="D21" s="42"/>
      <c r="E21" s="4">
        <f>D17*D18</f>
        <v>59283505512</v>
      </c>
    </row>
    <row r="22" spans="1:5" ht="15" customHeight="1">
      <c r="A22" s="42" t="s">
        <v>72</v>
      </c>
      <c r="B22" s="42"/>
      <c r="C22" s="42"/>
      <c r="D22" s="42"/>
      <c r="E22" s="27">
        <f>(E21-E20)/E21</f>
        <v>0.26269386781197795</v>
      </c>
    </row>
    <row r="23" spans="1:5" ht="27" customHeight="1">
      <c r="A23" s="42" t="s">
        <v>73</v>
      </c>
      <c r="B23" s="42"/>
      <c r="C23" s="42"/>
      <c r="D23" s="42"/>
      <c r="E23" s="27">
        <f>SUM(E6:E11)/$E$21</f>
        <v>0.2362786327845383</v>
      </c>
    </row>
    <row r="24" spans="1:5" ht="51.75" customHeight="1">
      <c r="A24" s="42" t="s">
        <v>74</v>
      </c>
      <c r="B24" s="42"/>
      <c r="C24" s="42"/>
      <c r="D24" s="42"/>
      <c r="E24" s="27">
        <f>(D17-D11)/(D12-D11)*D18/10*(D11+D17)/(2*E21)+E23</f>
        <v>0.2905487984495489</v>
      </c>
    </row>
    <row r="25" spans="1:5" ht="12.75">
      <c r="A25" s="42" t="s">
        <v>71</v>
      </c>
      <c r="B25" s="42"/>
      <c r="C25" s="42"/>
      <c r="D25" s="42"/>
      <c r="E25" s="13">
        <f>(D17*D18-C17*C18)/(D18-C18)</f>
        <v>20113.866365992224</v>
      </c>
    </row>
    <row r="26" spans="1:5" ht="17.25" customHeight="1">
      <c r="A26" s="42" t="s">
        <v>60</v>
      </c>
      <c r="B26" s="42"/>
      <c r="C26" s="42"/>
      <c r="D26" s="42"/>
      <c r="E26" s="36">
        <f>D6/2*D18/10</f>
        <v>404736173.1</v>
      </c>
    </row>
    <row r="27" spans="1:5" ht="17.25" customHeight="1">
      <c r="A27" s="42" t="s">
        <v>65</v>
      </c>
      <c r="B27" s="42"/>
      <c r="C27" s="42"/>
      <c r="D27" s="42"/>
      <c r="E27" s="27">
        <f>E26/E21</f>
        <v>0.006827129563350036</v>
      </c>
    </row>
    <row r="28" spans="1:5" ht="12.75">
      <c r="A28" t="s">
        <v>66</v>
      </c>
      <c r="E28" s="36">
        <f>E21-E20</f>
        <v>15573413360.399994</v>
      </c>
    </row>
    <row r="29" spans="1:5" ht="12.75">
      <c r="A29" t="s">
        <v>67</v>
      </c>
      <c r="E29" s="5">
        <f>E28/E26</f>
        <v>38.477937964176476</v>
      </c>
    </row>
  </sheetData>
  <mergeCells count="9">
    <mergeCell ref="A26:D26"/>
    <mergeCell ref="A27:D27"/>
    <mergeCell ref="A1:F3"/>
    <mergeCell ref="A24:D24"/>
    <mergeCell ref="A25:D25"/>
    <mergeCell ref="A23:D23"/>
    <mergeCell ref="A22:D22"/>
    <mergeCell ref="A21:D21"/>
    <mergeCell ref="A20:D20"/>
  </mergeCells>
  <printOptions/>
  <pageMargins left="0.75" right="0.75" top="1" bottom="1" header="0.4921259845" footer="0.492125984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Univ.Salzburg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lettnerh</dc:creator>
  <cp:keywords/>
  <dc:description/>
  <cp:lastModifiedBy>physics and biophysics</cp:lastModifiedBy>
  <cp:lastPrinted>2009-12-04T14:40:51Z</cp:lastPrinted>
  <dcterms:created xsi:type="dcterms:W3CDTF">2004-10-26T14:57:48Z</dcterms:created>
  <dcterms:modified xsi:type="dcterms:W3CDTF">2009-12-07T13:33:44Z</dcterms:modified>
  <cp:category/>
  <cp:version/>
  <cp:contentType/>
  <cp:contentStatus/>
</cp:coreProperties>
</file>